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Lev\PycharmProjects\pokemon-legends\"/>
    </mc:Choice>
  </mc:AlternateContent>
  <xr:revisionPtr revIDLastSave="0" documentId="13_ncr:1_{3EADE291-D306-4BCC-B0BF-7FCEE9B59838}" xr6:coauthVersionLast="47" xr6:coauthVersionMax="47" xr10:uidLastSave="{00000000-0000-0000-0000-000000000000}"/>
  <bookViews>
    <workbookView xWindow="0" yWindow="11445" windowWidth="21600" windowHeight="7200" xr2:uid="{00000000-000D-0000-FFFF-FFFF00000000}"/>
  </bookViews>
  <sheets>
    <sheet name="pokemon" sheetId="1" r:id="rId1"/>
    <sheet name="moves" sheetId="6" r:id="rId2"/>
    <sheet name="analysis" sheetId="7" r:id="rId3"/>
    <sheet name="trainer_cards" sheetId="8"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F312" i="1" l="1"/>
  <c r="AE312" i="1"/>
  <c r="AD312" i="1"/>
  <c r="AA312" i="1"/>
  <c r="Z312" i="1"/>
  <c r="V312" i="1"/>
  <c r="U312" i="1"/>
  <c r="O312" i="1"/>
  <c r="S312" i="1" s="1"/>
  <c r="N312" i="1"/>
  <c r="R312" i="1" s="1"/>
  <c r="AF309" i="1"/>
  <c r="AE309" i="1"/>
  <c r="AD309" i="1"/>
  <c r="AA309" i="1"/>
  <c r="Z309" i="1"/>
  <c r="U309" i="1"/>
  <c r="S309" i="1"/>
  <c r="O309" i="1"/>
  <c r="N309" i="1"/>
  <c r="R309" i="1" s="1"/>
  <c r="AF305" i="1"/>
  <c r="AE305" i="1"/>
  <c r="AD305" i="1"/>
  <c r="AA305" i="1"/>
  <c r="Z305" i="1"/>
  <c r="U305" i="1"/>
  <c r="O305" i="1"/>
  <c r="S305" i="1" s="1"/>
  <c r="N305" i="1"/>
  <c r="R305" i="1" s="1"/>
  <c r="AF301" i="1"/>
  <c r="AE301" i="1"/>
  <c r="AD301" i="1"/>
  <c r="AA301" i="1"/>
  <c r="Z301" i="1"/>
  <c r="V301" i="1"/>
  <c r="U301" i="1"/>
  <c r="O301" i="1"/>
  <c r="S301" i="1" s="1"/>
  <c r="N301" i="1"/>
  <c r="R301" i="1" s="1"/>
  <c r="AF297" i="1"/>
  <c r="AE297" i="1"/>
  <c r="AD297" i="1"/>
  <c r="AA297" i="1"/>
  <c r="Z297" i="1"/>
  <c r="V297" i="1"/>
  <c r="U297" i="1"/>
  <c r="O297" i="1"/>
  <c r="S297" i="1" s="1"/>
  <c r="N297" i="1"/>
  <c r="R297" i="1" s="1"/>
  <c r="AF285" i="1"/>
  <c r="AE285" i="1"/>
  <c r="AD285" i="1"/>
  <c r="AA285" i="1"/>
  <c r="Z285" i="1"/>
  <c r="U285" i="1"/>
  <c r="O285" i="1"/>
  <c r="S285" i="1" s="1"/>
  <c r="N285" i="1"/>
  <c r="R285" i="1" s="1"/>
  <c r="AF281" i="1"/>
  <c r="AE281" i="1"/>
  <c r="AD281" i="1"/>
  <c r="AA281" i="1"/>
  <c r="Z281" i="1"/>
  <c r="V281" i="1"/>
  <c r="U281" i="1"/>
  <c r="O281" i="1"/>
  <c r="S281" i="1" s="1"/>
  <c r="N281" i="1"/>
  <c r="R281" i="1" s="1"/>
  <c r="AF193" i="1"/>
  <c r="AE193" i="1"/>
  <c r="AD193" i="1"/>
  <c r="AA193" i="1"/>
  <c r="Z193" i="1"/>
  <c r="U193" i="1"/>
  <c r="O193" i="1"/>
  <c r="S193" i="1" s="1"/>
  <c r="N193" i="1"/>
  <c r="R193" i="1" s="1"/>
  <c r="AF183" i="1"/>
  <c r="AE183" i="1"/>
  <c r="AD183" i="1"/>
  <c r="AA183" i="1"/>
  <c r="Z183" i="1"/>
  <c r="U183" i="1"/>
  <c r="O183" i="1"/>
  <c r="S183" i="1" s="1"/>
  <c r="N183" i="1"/>
  <c r="R183" i="1" s="1"/>
  <c r="AF148" i="1"/>
  <c r="AE148" i="1"/>
  <c r="AD148" i="1"/>
  <c r="AA148" i="1"/>
  <c r="Z148" i="1"/>
  <c r="U148" i="1"/>
  <c r="O148" i="1"/>
  <c r="S148" i="1" s="1"/>
  <c r="N148" i="1"/>
  <c r="R148" i="1" s="1"/>
  <c r="AF138" i="1"/>
  <c r="AE138" i="1"/>
  <c r="AD138" i="1"/>
  <c r="AA138" i="1"/>
  <c r="Z138" i="1"/>
  <c r="V138" i="1"/>
  <c r="U138" i="1"/>
  <c r="O138" i="1"/>
  <c r="S138" i="1" s="1"/>
  <c r="N138" i="1"/>
  <c r="R138" i="1" s="1"/>
  <c r="AF121" i="1"/>
  <c r="AE121" i="1"/>
  <c r="AD121" i="1"/>
  <c r="AA121" i="1"/>
  <c r="Z121" i="1"/>
  <c r="V121" i="1"/>
  <c r="U121" i="1"/>
  <c r="O121" i="1"/>
  <c r="S121" i="1" s="1"/>
  <c r="N121" i="1"/>
  <c r="R121" i="1" s="1"/>
  <c r="AF29" i="1"/>
  <c r="AE29" i="1"/>
  <c r="AD29" i="1"/>
  <c r="AA29" i="1"/>
  <c r="Z29" i="1"/>
  <c r="V29" i="1"/>
  <c r="U29" i="1"/>
  <c r="O29" i="1"/>
  <c r="S29" i="1" s="1"/>
  <c r="N29" i="1"/>
  <c r="R29" i="1" s="1"/>
  <c r="AF25" i="1"/>
  <c r="AE25" i="1"/>
  <c r="AD25" i="1"/>
  <c r="AA25" i="1"/>
  <c r="Z25" i="1"/>
  <c r="U25" i="1"/>
  <c r="O25" i="1"/>
  <c r="S25" i="1" s="1"/>
  <c r="N25" i="1"/>
  <c r="R25" i="1" s="1"/>
  <c r="AF17" i="1"/>
  <c r="AE17" i="1"/>
  <c r="AD17" i="1"/>
  <c r="AA17" i="1"/>
  <c r="Z17" i="1"/>
  <c r="V17" i="1"/>
  <c r="U17" i="1"/>
  <c r="O17" i="1"/>
  <c r="S17" i="1" s="1"/>
  <c r="N17" i="1"/>
  <c r="R17" i="1" s="1"/>
  <c r="AF13" i="1"/>
  <c r="AE13" i="1"/>
  <c r="AD13" i="1"/>
  <c r="AA13" i="1"/>
  <c r="Z13" i="1"/>
  <c r="U13" i="1"/>
  <c r="O13" i="1"/>
  <c r="S13" i="1" s="1"/>
  <c r="N13" i="1"/>
  <c r="R13" i="1" s="1"/>
  <c r="AF9" i="1"/>
  <c r="AE9" i="1"/>
  <c r="AD9" i="1"/>
  <c r="AA9" i="1"/>
  <c r="Z9" i="1"/>
  <c r="V9" i="1"/>
  <c r="U9" i="1"/>
  <c r="O9" i="1"/>
  <c r="S9" i="1" s="1"/>
  <c r="N9" i="1"/>
  <c r="R9" i="1" s="1"/>
  <c r="Z43" i="1"/>
  <c r="Z45" i="1"/>
  <c r="Z46" i="1"/>
  <c r="Z48" i="1"/>
  <c r="F29" i="6"/>
  <c r="D29" i="6"/>
  <c r="U45" i="1"/>
  <c r="AF45" i="1"/>
  <c r="AE45" i="1"/>
  <c r="AD45" i="1"/>
  <c r="AA45" i="1"/>
  <c r="O45" i="1"/>
  <c r="S45" i="1" s="1"/>
  <c r="N45" i="1"/>
  <c r="R45" i="1" s="1"/>
  <c r="F104" i="6"/>
  <c r="D104" i="6"/>
  <c r="AE36" i="1" s="1"/>
  <c r="AF37" i="1"/>
  <c r="AD37" i="1"/>
  <c r="Z37" i="1"/>
  <c r="U37" i="1"/>
  <c r="O37" i="1"/>
  <c r="S37" i="1" s="1"/>
  <c r="N37" i="1"/>
  <c r="R37" i="1" s="1"/>
  <c r="AF36" i="1"/>
  <c r="AD36" i="1"/>
  <c r="Z36" i="1"/>
  <c r="U36" i="1"/>
  <c r="O36" i="1"/>
  <c r="S36" i="1" s="1"/>
  <c r="N36" i="1"/>
  <c r="R36" i="1" s="1"/>
  <c r="F91" i="6"/>
  <c r="F88" i="6"/>
  <c r="F87" i="6"/>
  <c r="D91" i="6"/>
  <c r="D88" i="6"/>
  <c r="D87" i="6"/>
  <c r="Y322" i="1"/>
  <c r="Y323" i="1"/>
  <c r="F149" i="6"/>
  <c r="D149" i="6"/>
  <c r="AE323" i="1" s="1"/>
  <c r="F53" i="6"/>
  <c r="D53" i="6"/>
  <c r="AE325" i="1" s="1"/>
  <c r="D165" i="6"/>
  <c r="F165" i="6"/>
  <c r="F166" i="6"/>
  <c r="D166" i="6"/>
  <c r="AF325" i="1"/>
  <c r="AD325" i="1"/>
  <c r="V325" i="1"/>
  <c r="U325" i="1"/>
  <c r="O325" i="1"/>
  <c r="S325" i="1" s="1"/>
  <c r="N325" i="1"/>
  <c r="R325" i="1" s="1"/>
  <c r="AF324" i="1"/>
  <c r="AD324" i="1"/>
  <c r="V324" i="1"/>
  <c r="U324" i="1"/>
  <c r="O324" i="1"/>
  <c r="S324" i="1" s="1"/>
  <c r="N324" i="1"/>
  <c r="R324" i="1" s="1"/>
  <c r="AF323" i="1"/>
  <c r="AD323" i="1"/>
  <c r="AA323" i="1"/>
  <c r="V323" i="1"/>
  <c r="U323" i="1"/>
  <c r="O323" i="1"/>
  <c r="S323" i="1" s="1"/>
  <c r="N323" i="1"/>
  <c r="R323" i="1" s="1"/>
  <c r="AD322" i="1"/>
  <c r="AF322" i="1"/>
  <c r="V322" i="1"/>
  <c r="N322" i="1"/>
  <c r="R322" i="1" s="1"/>
  <c r="O322" i="1"/>
  <c r="S322" i="1" s="1"/>
  <c r="U322" i="1"/>
  <c r="AA322" i="1"/>
  <c r="V171" i="1"/>
  <c r="AF171" i="1"/>
  <c r="AD171" i="1"/>
  <c r="Z171" i="1"/>
  <c r="U171" i="1"/>
  <c r="O171" i="1"/>
  <c r="S171" i="1" s="1"/>
  <c r="N171" i="1"/>
  <c r="R171" i="1" s="1"/>
  <c r="F175" i="6"/>
  <c r="D175" i="6"/>
  <c r="AF157" i="1"/>
  <c r="AD157" i="1"/>
  <c r="Z157" i="1"/>
  <c r="V157" i="1"/>
  <c r="U157" i="1"/>
  <c r="O157" i="1"/>
  <c r="S157" i="1" s="1"/>
  <c r="N157" i="1"/>
  <c r="R157" i="1" s="1"/>
  <c r="AF156" i="1"/>
  <c r="AD156" i="1"/>
  <c r="Z156" i="1"/>
  <c r="V156" i="1"/>
  <c r="U156" i="1"/>
  <c r="O156" i="1"/>
  <c r="S156" i="1" s="1"/>
  <c r="N156" i="1"/>
  <c r="R156" i="1" s="1"/>
  <c r="AF155" i="1"/>
  <c r="AE155" i="1"/>
  <c r="AD155" i="1"/>
  <c r="Z155" i="1"/>
  <c r="V155" i="1"/>
  <c r="U155" i="1"/>
  <c r="O155" i="1"/>
  <c r="S155" i="1" s="1"/>
  <c r="N155" i="1"/>
  <c r="R155" i="1" s="1"/>
  <c r="AF154" i="1"/>
  <c r="AD154" i="1"/>
  <c r="Z154" i="1"/>
  <c r="V154" i="1"/>
  <c r="U154" i="1"/>
  <c r="O154" i="1"/>
  <c r="S154" i="1" s="1"/>
  <c r="N154" i="1"/>
  <c r="R154" i="1" s="1"/>
  <c r="AF153" i="1"/>
  <c r="AD153" i="1"/>
  <c r="Z153" i="1"/>
  <c r="V153" i="1"/>
  <c r="U153" i="1"/>
  <c r="O153" i="1"/>
  <c r="S153" i="1" s="1"/>
  <c r="N153" i="1"/>
  <c r="R153" i="1" s="1"/>
  <c r="AF3" i="1"/>
  <c r="AF4" i="1"/>
  <c r="AF6" i="1"/>
  <c r="AF7" i="1"/>
  <c r="AF8" i="1"/>
  <c r="AF10" i="1"/>
  <c r="AF11" i="1"/>
  <c r="AF12" i="1"/>
  <c r="AF14" i="1"/>
  <c r="AF15" i="1"/>
  <c r="AF16" i="1"/>
  <c r="AF18" i="1"/>
  <c r="AF19" i="1"/>
  <c r="AF20" i="1"/>
  <c r="AF21" i="1"/>
  <c r="AF22" i="1"/>
  <c r="AF23" i="1"/>
  <c r="AF24" i="1"/>
  <c r="AF26" i="1"/>
  <c r="AF27" i="1"/>
  <c r="AF28" i="1"/>
  <c r="AF30" i="1"/>
  <c r="AF31" i="1"/>
  <c r="AF32" i="1"/>
  <c r="AF33" i="1"/>
  <c r="AF34" i="1"/>
  <c r="AF35" i="1"/>
  <c r="AF38" i="1"/>
  <c r="AF39" i="1"/>
  <c r="AF40" i="1"/>
  <c r="AF41" i="1"/>
  <c r="AF42" i="1"/>
  <c r="AF43" i="1"/>
  <c r="AF44"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100" i="1"/>
  <c r="AF101" i="1"/>
  <c r="AF102" i="1"/>
  <c r="AF103" i="1"/>
  <c r="AF104" i="1"/>
  <c r="AF105" i="1"/>
  <c r="AF106" i="1"/>
  <c r="AF107" i="1"/>
  <c r="AF108" i="1"/>
  <c r="AF109" i="1"/>
  <c r="AF110" i="1"/>
  <c r="AF111" i="1"/>
  <c r="AF112" i="1"/>
  <c r="AF113" i="1"/>
  <c r="AF114" i="1"/>
  <c r="AF115" i="1"/>
  <c r="AF116" i="1"/>
  <c r="AF117" i="1"/>
  <c r="AF118" i="1"/>
  <c r="AF119" i="1"/>
  <c r="AF120" i="1"/>
  <c r="AF122" i="1"/>
  <c r="AF123" i="1"/>
  <c r="AF124" i="1"/>
  <c r="AF125" i="1"/>
  <c r="AF126" i="1"/>
  <c r="AF127" i="1"/>
  <c r="AF128" i="1"/>
  <c r="AF129" i="1"/>
  <c r="AF130" i="1"/>
  <c r="AF131" i="1"/>
  <c r="AF132" i="1"/>
  <c r="AF133" i="1"/>
  <c r="AF134" i="1"/>
  <c r="AF135" i="1"/>
  <c r="AF136" i="1"/>
  <c r="AF137" i="1"/>
  <c r="AF139" i="1"/>
  <c r="AF140" i="1"/>
  <c r="AF141" i="1"/>
  <c r="AF142" i="1"/>
  <c r="AF143" i="1"/>
  <c r="AF144" i="1"/>
  <c r="AF145" i="1"/>
  <c r="AF146" i="1"/>
  <c r="AF147" i="1"/>
  <c r="AF149" i="1"/>
  <c r="AF150" i="1"/>
  <c r="AF151" i="1"/>
  <c r="AF152" i="1"/>
  <c r="AF158" i="1"/>
  <c r="AF159" i="1"/>
  <c r="AF160" i="1"/>
  <c r="AF161" i="1"/>
  <c r="AF162" i="1"/>
  <c r="AF163" i="1"/>
  <c r="AF164" i="1"/>
  <c r="AF165" i="1"/>
  <c r="AF166" i="1"/>
  <c r="AF167" i="1"/>
  <c r="AF168" i="1"/>
  <c r="AF169" i="1"/>
  <c r="AF170" i="1"/>
  <c r="AF172" i="1"/>
  <c r="AF173" i="1"/>
  <c r="AF174" i="1"/>
  <c r="AF175" i="1"/>
  <c r="AF176" i="1"/>
  <c r="AF177" i="1"/>
  <c r="AF178" i="1"/>
  <c r="AF179" i="1"/>
  <c r="AF180" i="1"/>
  <c r="AF181" i="1"/>
  <c r="AF182" i="1"/>
  <c r="AF184" i="1"/>
  <c r="AF185" i="1"/>
  <c r="AF186" i="1"/>
  <c r="AF187" i="1"/>
  <c r="AF188" i="1"/>
  <c r="AF189" i="1"/>
  <c r="AF190" i="1"/>
  <c r="AF191" i="1"/>
  <c r="AF192"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2" i="1"/>
  <c r="AF283" i="1"/>
  <c r="AF284" i="1"/>
  <c r="AF286" i="1"/>
  <c r="AF287" i="1"/>
  <c r="AF288" i="1"/>
  <c r="AF289" i="1"/>
  <c r="AF290" i="1"/>
  <c r="AF291" i="1"/>
  <c r="AF292" i="1"/>
  <c r="AF293" i="1"/>
  <c r="AF294" i="1"/>
  <c r="AF295" i="1"/>
  <c r="AF296" i="1"/>
  <c r="AF298" i="1"/>
  <c r="AF299" i="1"/>
  <c r="AF300" i="1"/>
  <c r="AF302" i="1"/>
  <c r="AF303" i="1"/>
  <c r="AF304" i="1"/>
  <c r="AF306" i="1"/>
  <c r="AF307" i="1"/>
  <c r="AF308" i="1"/>
  <c r="AF310" i="1"/>
  <c r="AF311" i="1"/>
  <c r="AF313" i="1"/>
  <c r="AF314" i="1"/>
  <c r="AF315" i="1"/>
  <c r="AF316" i="1"/>
  <c r="AF317" i="1"/>
  <c r="AF318" i="1"/>
  <c r="AF319" i="1"/>
  <c r="AF320" i="1"/>
  <c r="AF321" i="1"/>
  <c r="AF326" i="1"/>
  <c r="AF327" i="1"/>
  <c r="AF328" i="1"/>
  <c r="AF329" i="1"/>
  <c r="AF330" i="1"/>
  <c r="AF331" i="1"/>
  <c r="AF332" i="1"/>
  <c r="AF333" i="1"/>
  <c r="AF334" i="1"/>
  <c r="AF335" i="1"/>
  <c r="AF336" i="1"/>
  <c r="AF337" i="1"/>
  <c r="AF338" i="1"/>
  <c r="AF339" i="1"/>
  <c r="AF340" i="1"/>
  <c r="AF341" i="1"/>
  <c r="AF342" i="1"/>
  <c r="AF5" i="1"/>
  <c r="AF373" i="1"/>
  <c r="AF2" i="1"/>
  <c r="AE73" i="1"/>
  <c r="AD3" i="1"/>
  <c r="AD4" i="1"/>
  <c r="AD6" i="1"/>
  <c r="AD7" i="1"/>
  <c r="AD8" i="1"/>
  <c r="AD10" i="1"/>
  <c r="AD11" i="1"/>
  <c r="AD12" i="1"/>
  <c r="AD14" i="1"/>
  <c r="AD15" i="1"/>
  <c r="AD16" i="1"/>
  <c r="AD18" i="1"/>
  <c r="AD19" i="1"/>
  <c r="AD20" i="1"/>
  <c r="AD21" i="1"/>
  <c r="AD22" i="1"/>
  <c r="AD23" i="1"/>
  <c r="AD24" i="1"/>
  <c r="AD26" i="1"/>
  <c r="AD27" i="1"/>
  <c r="AD28" i="1"/>
  <c r="AD30" i="1"/>
  <c r="AD31" i="1"/>
  <c r="AD32" i="1"/>
  <c r="AD33" i="1"/>
  <c r="AD34" i="1"/>
  <c r="AD35" i="1"/>
  <c r="AD38" i="1"/>
  <c r="AD39" i="1"/>
  <c r="AD40" i="1"/>
  <c r="AD41" i="1"/>
  <c r="AD42" i="1"/>
  <c r="AD43" i="1"/>
  <c r="AD44" i="1"/>
  <c r="AD46" i="1"/>
  <c r="AD47" i="1"/>
  <c r="AD48" i="1"/>
  <c r="AD49" i="1"/>
  <c r="AD50" i="1"/>
  <c r="AD51"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80" i="1"/>
  <c r="AD81" i="1"/>
  <c r="AD82" i="1"/>
  <c r="AD83" i="1"/>
  <c r="AD84" i="1"/>
  <c r="AD85" i="1"/>
  <c r="AD86" i="1"/>
  <c r="AD87" i="1"/>
  <c r="AD88" i="1"/>
  <c r="AD89" i="1"/>
  <c r="AD90" i="1"/>
  <c r="AD91" i="1"/>
  <c r="AD92" i="1"/>
  <c r="AD93" i="1"/>
  <c r="AD94" i="1"/>
  <c r="AD95" i="1"/>
  <c r="AD96" i="1"/>
  <c r="AD97" i="1"/>
  <c r="AD98" i="1"/>
  <c r="AD99" i="1"/>
  <c r="AD100" i="1"/>
  <c r="AD101" i="1"/>
  <c r="AD102" i="1"/>
  <c r="AD103" i="1"/>
  <c r="AD104" i="1"/>
  <c r="AD105" i="1"/>
  <c r="AD106" i="1"/>
  <c r="AD107" i="1"/>
  <c r="AD108" i="1"/>
  <c r="AD109" i="1"/>
  <c r="AD110" i="1"/>
  <c r="AD111" i="1"/>
  <c r="AD112" i="1"/>
  <c r="AD113" i="1"/>
  <c r="AD114" i="1"/>
  <c r="AD115" i="1"/>
  <c r="AD116" i="1"/>
  <c r="AD117" i="1"/>
  <c r="AD118" i="1"/>
  <c r="AD119" i="1"/>
  <c r="AD120" i="1"/>
  <c r="AD122" i="1"/>
  <c r="AD123" i="1"/>
  <c r="AD124" i="1"/>
  <c r="AD125" i="1"/>
  <c r="AD126" i="1"/>
  <c r="AD127" i="1"/>
  <c r="AD128" i="1"/>
  <c r="AD129" i="1"/>
  <c r="AD130" i="1"/>
  <c r="AD131" i="1"/>
  <c r="AD132" i="1"/>
  <c r="AD133" i="1"/>
  <c r="AD134" i="1"/>
  <c r="AD135" i="1"/>
  <c r="AD136" i="1"/>
  <c r="AD137" i="1"/>
  <c r="AD139" i="1"/>
  <c r="AD140" i="1"/>
  <c r="AD141" i="1"/>
  <c r="AD142" i="1"/>
  <c r="AD143" i="1"/>
  <c r="AD144" i="1"/>
  <c r="AD145" i="1"/>
  <c r="AD146" i="1"/>
  <c r="AD147" i="1"/>
  <c r="AD149" i="1"/>
  <c r="AD150" i="1"/>
  <c r="AD151" i="1"/>
  <c r="AD152" i="1"/>
  <c r="AD158" i="1"/>
  <c r="AD159" i="1"/>
  <c r="AD160" i="1"/>
  <c r="AD161" i="1"/>
  <c r="AD162" i="1"/>
  <c r="AD163" i="1"/>
  <c r="AD164" i="1"/>
  <c r="AD165" i="1"/>
  <c r="AD166" i="1"/>
  <c r="AD167" i="1"/>
  <c r="AD168" i="1"/>
  <c r="AD169" i="1"/>
  <c r="AD170" i="1"/>
  <c r="AD172" i="1"/>
  <c r="AD173" i="1"/>
  <c r="AD174" i="1"/>
  <c r="AD175" i="1"/>
  <c r="AD176" i="1"/>
  <c r="AD177" i="1"/>
  <c r="AD178" i="1"/>
  <c r="AD179" i="1"/>
  <c r="AD180" i="1"/>
  <c r="AD181" i="1"/>
  <c r="AD182" i="1"/>
  <c r="AD184" i="1"/>
  <c r="AD185" i="1"/>
  <c r="AD186" i="1"/>
  <c r="AD187" i="1"/>
  <c r="AD188" i="1"/>
  <c r="AD189" i="1"/>
  <c r="AD190" i="1"/>
  <c r="AD191" i="1"/>
  <c r="AD192" i="1"/>
  <c r="AD194" i="1"/>
  <c r="AD195" i="1"/>
  <c r="AD196" i="1"/>
  <c r="AD197" i="1"/>
  <c r="AD198" i="1"/>
  <c r="AD199" i="1"/>
  <c r="AD200" i="1"/>
  <c r="AD201" i="1"/>
  <c r="AD202" i="1"/>
  <c r="AD203" i="1"/>
  <c r="AD204" i="1"/>
  <c r="AD205" i="1"/>
  <c r="AD206" i="1"/>
  <c r="AD207" i="1"/>
  <c r="AD208" i="1"/>
  <c r="AD209" i="1"/>
  <c r="AD210" i="1"/>
  <c r="AD211" i="1"/>
  <c r="AD212" i="1"/>
  <c r="AD213" i="1"/>
  <c r="AD214" i="1"/>
  <c r="AD215" i="1"/>
  <c r="AD216" i="1"/>
  <c r="AD217" i="1"/>
  <c r="AD218" i="1"/>
  <c r="AD219" i="1"/>
  <c r="AD220" i="1"/>
  <c r="AD221" i="1"/>
  <c r="AD222" i="1"/>
  <c r="AD223" i="1"/>
  <c r="AD224" i="1"/>
  <c r="AD225" i="1"/>
  <c r="AD226" i="1"/>
  <c r="AD227" i="1"/>
  <c r="AD228" i="1"/>
  <c r="AD229" i="1"/>
  <c r="AD230" i="1"/>
  <c r="AD231" i="1"/>
  <c r="AD232" i="1"/>
  <c r="AD233" i="1"/>
  <c r="AD234" i="1"/>
  <c r="AD235" i="1"/>
  <c r="AD236" i="1"/>
  <c r="AD237" i="1"/>
  <c r="AD238" i="1"/>
  <c r="AD239" i="1"/>
  <c r="AD240" i="1"/>
  <c r="AD241" i="1"/>
  <c r="AD242" i="1"/>
  <c r="AD243" i="1"/>
  <c r="AD244" i="1"/>
  <c r="AD245" i="1"/>
  <c r="AD246" i="1"/>
  <c r="AD247" i="1"/>
  <c r="AD248" i="1"/>
  <c r="AD249" i="1"/>
  <c r="AD250" i="1"/>
  <c r="AD251" i="1"/>
  <c r="AD252" i="1"/>
  <c r="AD253" i="1"/>
  <c r="AD254" i="1"/>
  <c r="AD255" i="1"/>
  <c r="AD256" i="1"/>
  <c r="AD257" i="1"/>
  <c r="AD258" i="1"/>
  <c r="AD259" i="1"/>
  <c r="AD260" i="1"/>
  <c r="AD261" i="1"/>
  <c r="AD262" i="1"/>
  <c r="AD263" i="1"/>
  <c r="AD264" i="1"/>
  <c r="AD265" i="1"/>
  <c r="AD266" i="1"/>
  <c r="AD267" i="1"/>
  <c r="AD268" i="1"/>
  <c r="AD269" i="1"/>
  <c r="AD270" i="1"/>
  <c r="AD271" i="1"/>
  <c r="AD272" i="1"/>
  <c r="AD273" i="1"/>
  <c r="AD274" i="1"/>
  <c r="AD275" i="1"/>
  <c r="AD276" i="1"/>
  <c r="AD277" i="1"/>
  <c r="AD278" i="1"/>
  <c r="AD279" i="1"/>
  <c r="AD280" i="1"/>
  <c r="AD282" i="1"/>
  <c r="AD283" i="1"/>
  <c r="AD284" i="1"/>
  <c r="AD286" i="1"/>
  <c r="AD287" i="1"/>
  <c r="AD288" i="1"/>
  <c r="AD289" i="1"/>
  <c r="AD290" i="1"/>
  <c r="AD291" i="1"/>
  <c r="AD292" i="1"/>
  <c r="AD293" i="1"/>
  <c r="AD294" i="1"/>
  <c r="AD295" i="1"/>
  <c r="AD296" i="1"/>
  <c r="AD298" i="1"/>
  <c r="AD299" i="1"/>
  <c r="AD300" i="1"/>
  <c r="AD302" i="1"/>
  <c r="AD303" i="1"/>
  <c r="AD304" i="1"/>
  <c r="AD306" i="1"/>
  <c r="AD307" i="1"/>
  <c r="AD308" i="1"/>
  <c r="AD310" i="1"/>
  <c r="AD311" i="1"/>
  <c r="AD313" i="1"/>
  <c r="AD314" i="1"/>
  <c r="AD315" i="1"/>
  <c r="AD316" i="1"/>
  <c r="AD317" i="1"/>
  <c r="AD318" i="1"/>
  <c r="AD319" i="1"/>
  <c r="AD320" i="1"/>
  <c r="AD321" i="1"/>
  <c r="AD326" i="1"/>
  <c r="AD327" i="1"/>
  <c r="AD328" i="1"/>
  <c r="AD329" i="1"/>
  <c r="AD330" i="1"/>
  <c r="AD331" i="1"/>
  <c r="AD332" i="1"/>
  <c r="AD333" i="1"/>
  <c r="AD334" i="1"/>
  <c r="AD335" i="1"/>
  <c r="AD336" i="1"/>
  <c r="AD337" i="1"/>
  <c r="AD338" i="1"/>
  <c r="AD339" i="1"/>
  <c r="AD340" i="1"/>
  <c r="AD341" i="1"/>
  <c r="AD342" i="1"/>
  <c r="AD5" i="1"/>
  <c r="AD373" i="1"/>
  <c r="AD2" i="1"/>
  <c r="Z165" i="1"/>
  <c r="V165" i="1"/>
  <c r="U165" i="1"/>
  <c r="O165" i="1"/>
  <c r="S165" i="1" s="1"/>
  <c r="N165" i="1"/>
  <c r="R165" i="1" s="1"/>
  <c r="AA161" i="1"/>
  <c r="Z161" i="1"/>
  <c r="V161" i="1"/>
  <c r="U161" i="1"/>
  <c r="O161" i="1"/>
  <c r="S161" i="1" s="1"/>
  <c r="N161" i="1"/>
  <c r="R161" i="1" s="1"/>
  <c r="AA159" i="1"/>
  <c r="Z159" i="1"/>
  <c r="V159" i="1"/>
  <c r="U159" i="1"/>
  <c r="O159" i="1"/>
  <c r="S159" i="1" s="1"/>
  <c r="N159" i="1"/>
  <c r="R159" i="1" s="1"/>
  <c r="N330" i="1"/>
  <c r="O330" i="1"/>
  <c r="P330" i="1"/>
  <c r="Q330" i="1"/>
  <c r="U330" i="1"/>
  <c r="V330" i="1"/>
  <c r="Z330" i="1"/>
  <c r="AA330" i="1"/>
  <c r="N331" i="1"/>
  <c r="O331" i="1"/>
  <c r="P331" i="1"/>
  <c r="Q331" i="1"/>
  <c r="U331" i="1"/>
  <c r="V331" i="1"/>
  <c r="Z331" i="1"/>
  <c r="AA331" i="1"/>
  <c r="N332" i="1"/>
  <c r="O332" i="1"/>
  <c r="P332" i="1"/>
  <c r="Q332" i="1"/>
  <c r="U332" i="1"/>
  <c r="V332" i="1"/>
  <c r="Z332" i="1"/>
  <c r="AA332" i="1"/>
  <c r="F37" i="6"/>
  <c r="D37" i="6"/>
  <c r="AE118" i="1" s="1"/>
  <c r="F160" i="6"/>
  <c r="D160" i="6"/>
  <c r="AE245" i="1" s="1"/>
  <c r="D39" i="6"/>
  <c r="AE204" i="1" s="1"/>
  <c r="C34" i="7"/>
  <c r="AA364" i="1"/>
  <c r="O364" i="1"/>
  <c r="S364" i="1" s="1"/>
  <c r="N364" i="1"/>
  <c r="R364" i="1" s="1"/>
  <c r="O354" i="1"/>
  <c r="S354" i="1" s="1"/>
  <c r="N354" i="1"/>
  <c r="R354" i="1" s="1"/>
  <c r="AA359" i="1"/>
  <c r="O359" i="1"/>
  <c r="S359" i="1" s="1"/>
  <c r="N359" i="1"/>
  <c r="R359" i="1" s="1"/>
  <c r="F151" i="6"/>
  <c r="D151" i="6"/>
  <c r="AE230" i="1" s="1"/>
  <c r="F119" i="6"/>
  <c r="D119" i="6"/>
  <c r="AE93" i="1" s="1"/>
  <c r="F192" i="6"/>
  <c r="F18" i="6"/>
  <c r="D18" i="6"/>
  <c r="AE234" i="1" s="1"/>
  <c r="F8" i="6"/>
  <c r="D8" i="6"/>
  <c r="AE274" i="1" s="1"/>
  <c r="F12" i="6"/>
  <c r="D12" i="6"/>
  <c r="AE223" i="1" s="1"/>
  <c r="D192" i="6"/>
  <c r="AE144" i="1" s="1"/>
  <c r="F117" i="6"/>
  <c r="D117" i="6"/>
  <c r="AE91" i="1" s="1"/>
  <c r="F2" i="6"/>
  <c r="D2" i="6"/>
  <c r="AE81" i="1" s="1"/>
  <c r="F6" i="6"/>
  <c r="F197" i="6"/>
  <c r="D197" i="6"/>
  <c r="AE66" i="1" s="1"/>
  <c r="F78" i="6"/>
  <c r="F36" i="6"/>
  <c r="F30" i="6"/>
  <c r="F38" i="6"/>
  <c r="F40" i="6"/>
  <c r="F42" i="6"/>
  <c r="F44" i="6"/>
  <c r="F25" i="6"/>
  <c r="F19" i="6"/>
  <c r="F20" i="6"/>
  <c r="F21" i="6"/>
  <c r="F22" i="6"/>
  <c r="F23" i="6"/>
  <c r="F45" i="6"/>
  <c r="F46" i="6"/>
  <c r="F54" i="6"/>
  <c r="F47" i="6"/>
  <c r="F48" i="6"/>
  <c r="F49" i="6"/>
  <c r="F50" i="6"/>
  <c r="F51" i="6"/>
  <c r="F43" i="6"/>
  <c r="F52" i="6"/>
  <c r="F97" i="6"/>
  <c r="F56" i="6"/>
  <c r="D54" i="6"/>
  <c r="AE44" i="1" s="1"/>
  <c r="D30" i="6"/>
  <c r="AE46" i="1" s="1"/>
  <c r="D43" i="6"/>
  <c r="AE39" i="1" s="1"/>
  <c r="F55" i="6"/>
  <c r="D55" i="6"/>
  <c r="AE20" i="1" s="1"/>
  <c r="F98" i="6"/>
  <c r="D98" i="6"/>
  <c r="AE72" i="1" s="1"/>
  <c r="F122" i="6"/>
  <c r="F127" i="6"/>
  <c r="F123" i="6"/>
  <c r="F126" i="6"/>
  <c r="F125" i="6"/>
  <c r="F121" i="6"/>
  <c r="F120" i="6"/>
  <c r="F124" i="6"/>
  <c r="D127" i="6"/>
  <c r="D123" i="6"/>
  <c r="D126" i="6"/>
  <c r="D125" i="6"/>
  <c r="AE5" i="1" s="1"/>
  <c r="D121" i="6"/>
  <c r="D120" i="6"/>
  <c r="D124" i="6"/>
  <c r="D122" i="6"/>
  <c r="D47" i="6"/>
  <c r="AE321" i="1" s="1"/>
  <c r="AA320" i="1"/>
  <c r="AA321" i="1"/>
  <c r="Y320" i="1"/>
  <c r="Z314" i="1"/>
  <c r="Z317" i="1"/>
  <c r="Z319" i="1"/>
  <c r="V320" i="1"/>
  <c r="V321" i="1"/>
  <c r="U320" i="1"/>
  <c r="U321" i="1"/>
  <c r="N321" i="1"/>
  <c r="R321" i="1" s="1"/>
  <c r="O321" i="1"/>
  <c r="S321" i="1" s="1"/>
  <c r="N320" i="1"/>
  <c r="R320" i="1" s="1"/>
  <c r="O320" i="1"/>
  <c r="S320" i="1" s="1"/>
  <c r="F208" i="6"/>
  <c r="D208" i="6"/>
  <c r="AE319" i="1" s="1"/>
  <c r="D46" i="6"/>
  <c r="AE318" i="1" s="1"/>
  <c r="Y318" i="1"/>
  <c r="AA318" i="1"/>
  <c r="AA319" i="1"/>
  <c r="U319" i="1"/>
  <c r="N319" i="1"/>
  <c r="R319" i="1" s="1"/>
  <c r="O319" i="1"/>
  <c r="S319" i="1" s="1"/>
  <c r="N318" i="1"/>
  <c r="R318" i="1" s="1"/>
  <c r="O318" i="1"/>
  <c r="S318" i="1" s="1"/>
  <c r="U318" i="1"/>
  <c r="AA315" i="1"/>
  <c r="AA316" i="1"/>
  <c r="AA317" i="1"/>
  <c r="F32" i="6"/>
  <c r="F33" i="6"/>
  <c r="D33" i="6"/>
  <c r="AE317" i="1" s="1"/>
  <c r="D32" i="6"/>
  <c r="AE316" i="1" s="1"/>
  <c r="D48" i="6"/>
  <c r="AE315" i="1" s="1"/>
  <c r="Y315" i="1"/>
  <c r="Y316" i="1"/>
  <c r="U316" i="1"/>
  <c r="U317" i="1"/>
  <c r="N317" i="1"/>
  <c r="R317" i="1" s="1"/>
  <c r="O317" i="1"/>
  <c r="S317" i="1" s="1"/>
  <c r="N316" i="1"/>
  <c r="R316" i="1" s="1"/>
  <c r="O316" i="1"/>
  <c r="S316" i="1" s="1"/>
  <c r="N315" i="1"/>
  <c r="R315" i="1" s="1"/>
  <c r="O315" i="1"/>
  <c r="S315" i="1" s="1"/>
  <c r="U315" i="1"/>
  <c r="F111" i="6"/>
  <c r="D111" i="6"/>
  <c r="AE314" i="1" s="1"/>
  <c r="F3" i="6"/>
  <c r="D3" i="6"/>
  <c r="AE313" i="1" s="1"/>
  <c r="Z311" i="1"/>
  <c r="Y313" i="1"/>
  <c r="U314" i="1"/>
  <c r="V314" i="1"/>
  <c r="N314" i="1"/>
  <c r="R314" i="1" s="1"/>
  <c r="O314" i="1"/>
  <c r="S314" i="1" s="1"/>
  <c r="AA314" i="1"/>
  <c r="V313" i="1"/>
  <c r="N313" i="1"/>
  <c r="R313" i="1" s="1"/>
  <c r="O313" i="1"/>
  <c r="S313" i="1" s="1"/>
  <c r="U313" i="1"/>
  <c r="AA313" i="1"/>
  <c r="D23" i="6"/>
  <c r="AE57" i="1" s="1"/>
  <c r="F101" i="6"/>
  <c r="F161" i="6"/>
  <c r="D161" i="6"/>
  <c r="AE233" i="1" s="1"/>
  <c r="F100" i="6"/>
  <c r="D100" i="6"/>
  <c r="AE15" i="1" s="1"/>
  <c r="F159" i="6"/>
  <c r="D159" i="6"/>
  <c r="AE213" i="1" s="1"/>
  <c r="D101" i="6"/>
  <c r="AE10" i="1" s="1"/>
  <c r="D143" i="6"/>
  <c r="AE117" i="1" s="1"/>
  <c r="D97" i="6"/>
  <c r="AE302" i="1" s="1"/>
  <c r="F34" i="6"/>
  <c r="D34" i="6"/>
  <c r="AE6" i="1" s="1"/>
  <c r="F204" i="6"/>
  <c r="F206" i="6"/>
  <c r="F203" i="6"/>
  <c r="D204" i="6"/>
  <c r="AE341" i="1" s="1"/>
  <c r="D203" i="6"/>
  <c r="AE340" i="1" s="1"/>
  <c r="D206" i="6"/>
  <c r="AE339" i="1" s="1"/>
  <c r="V340" i="1"/>
  <c r="V341" i="1"/>
  <c r="U339" i="1"/>
  <c r="U340" i="1"/>
  <c r="U341" i="1"/>
  <c r="N341" i="1"/>
  <c r="R341" i="1" s="1"/>
  <c r="O341" i="1"/>
  <c r="S341" i="1" s="1"/>
  <c r="N340" i="1"/>
  <c r="R340" i="1" s="1"/>
  <c r="O340" i="1"/>
  <c r="S340" i="1" s="1"/>
  <c r="N339" i="1"/>
  <c r="R339" i="1" s="1"/>
  <c r="O339" i="1"/>
  <c r="S339" i="1" s="1"/>
  <c r="AA339" i="1"/>
  <c r="Y298" i="1"/>
  <c r="Y299" i="1"/>
  <c r="P333" i="1"/>
  <c r="P338" i="1"/>
  <c r="P337" i="1"/>
  <c r="P336" i="1"/>
  <c r="P335" i="1"/>
  <c r="P334" i="1"/>
  <c r="Q338" i="1"/>
  <c r="Q337" i="1"/>
  <c r="Q336" i="1"/>
  <c r="Q335" i="1"/>
  <c r="Q334" i="1"/>
  <c r="Q333" i="1"/>
  <c r="Z308" i="1"/>
  <c r="Y310" i="1"/>
  <c r="V311" i="1"/>
  <c r="N311" i="1"/>
  <c r="R311" i="1" s="1"/>
  <c r="O311" i="1"/>
  <c r="S311" i="1" s="1"/>
  <c r="U311" i="1"/>
  <c r="AA311" i="1"/>
  <c r="N310" i="1"/>
  <c r="R310" i="1" s="1"/>
  <c r="O310" i="1"/>
  <c r="S310" i="1" s="1"/>
  <c r="U310" i="1"/>
  <c r="AA310" i="1"/>
  <c r="V5" i="1"/>
  <c r="U5" i="1"/>
  <c r="O5" i="1"/>
  <c r="S5" i="1" s="1"/>
  <c r="N5" i="1"/>
  <c r="R5" i="1" s="1"/>
  <c r="AA5" i="1"/>
  <c r="V327" i="1"/>
  <c r="V328" i="1"/>
  <c r="V326" i="1"/>
  <c r="U326" i="1"/>
  <c r="U327" i="1"/>
  <c r="U328" i="1"/>
  <c r="AA328" i="1"/>
  <c r="Z328" i="1"/>
  <c r="O328" i="1"/>
  <c r="S328" i="1" s="1"/>
  <c r="N328" i="1"/>
  <c r="R328" i="1" s="1"/>
  <c r="AA327" i="1"/>
  <c r="Z327" i="1"/>
  <c r="O327" i="1"/>
  <c r="S327" i="1" s="1"/>
  <c r="N327" i="1"/>
  <c r="R327" i="1" s="1"/>
  <c r="N326" i="1"/>
  <c r="R326" i="1" s="1"/>
  <c r="O326" i="1"/>
  <c r="S326" i="1" s="1"/>
  <c r="Z326" i="1"/>
  <c r="AA326" i="1"/>
  <c r="D105" i="6"/>
  <c r="AE329" i="1" s="1"/>
  <c r="Z329" i="1"/>
  <c r="N329" i="1"/>
  <c r="R329" i="1" s="1"/>
  <c r="O329" i="1"/>
  <c r="S329" i="1" s="1"/>
  <c r="AA329" i="1"/>
  <c r="D181" i="6"/>
  <c r="AE244" i="1" s="1"/>
  <c r="D9" i="6"/>
  <c r="AE41" i="1" s="1"/>
  <c r="D40" i="6"/>
  <c r="AE112" i="1" s="1"/>
  <c r="D214" i="6"/>
  <c r="AE266" i="1" s="1"/>
  <c r="D85" i="6"/>
  <c r="AE22" i="1" s="1"/>
  <c r="D86" i="6"/>
  <c r="AE333" i="1" s="1"/>
  <c r="D137" i="6"/>
  <c r="AE113" i="1" s="1"/>
  <c r="D142" i="6"/>
  <c r="AE24" i="1" s="1"/>
  <c r="D178" i="6"/>
  <c r="AE327" i="1" s="1"/>
  <c r="D185" i="6"/>
  <c r="AE198" i="1" s="1"/>
  <c r="D7" i="6"/>
  <c r="AE26" i="1" s="1"/>
  <c r="D10" i="6"/>
  <c r="AE291" i="1" s="1"/>
  <c r="D36" i="6"/>
  <c r="AE320" i="1" s="1"/>
  <c r="D63" i="6"/>
  <c r="AE2" i="1" s="1"/>
  <c r="D150" i="6"/>
  <c r="AE111" i="1" s="1"/>
  <c r="D140" i="6"/>
  <c r="AE335" i="1" s="1"/>
  <c r="AE35" i="1"/>
  <c r="D109" i="6"/>
  <c r="AE299" i="1" s="1"/>
  <c r="D196" i="6"/>
  <c r="AE170" i="1" s="1"/>
  <c r="D170" i="6"/>
  <c r="AE99" i="1" s="1"/>
  <c r="D174" i="6"/>
  <c r="AE292" i="1" s="1"/>
  <c r="D38" i="6"/>
  <c r="AE98" i="1" s="1"/>
  <c r="D212" i="6"/>
  <c r="AE275" i="1" s="1"/>
  <c r="D93" i="6"/>
  <c r="AE96" i="1" s="1"/>
  <c r="D67" i="6"/>
  <c r="AE136" i="1" s="1"/>
  <c r="D134" i="6"/>
  <c r="AE101" i="1" s="1"/>
  <c r="D133" i="6"/>
  <c r="AE48" i="1" s="1"/>
  <c r="D177" i="6"/>
  <c r="AE326" i="1" s="1"/>
  <c r="D183" i="6"/>
  <c r="AE176" i="1" s="1"/>
  <c r="D191" i="6"/>
  <c r="AE273" i="1" s="1"/>
  <c r="D81" i="6"/>
  <c r="AE242" i="1" s="1"/>
  <c r="D21" i="6"/>
  <c r="AE7" i="1" s="1"/>
  <c r="D24" i="6"/>
  <c r="AE190" i="1" s="1"/>
  <c r="D69" i="6"/>
  <c r="AE235" i="1" s="1"/>
  <c r="D213" i="6"/>
  <c r="AE191" i="1" s="1"/>
  <c r="D106" i="6"/>
  <c r="AE331" i="1" s="1"/>
  <c r="D147" i="6"/>
  <c r="AE84" i="1" s="1"/>
  <c r="D172" i="6"/>
  <c r="AE16" i="1" s="1"/>
  <c r="D171" i="6"/>
  <c r="AE240" i="1" s="1"/>
  <c r="D210" i="6"/>
  <c r="AE192" i="1" s="1"/>
  <c r="D11" i="6"/>
  <c r="AE310" i="1" s="1"/>
  <c r="D42" i="6"/>
  <c r="AE187" i="1" s="1"/>
  <c r="D80" i="6"/>
  <c r="AE293" i="1" s="1"/>
  <c r="D74" i="6"/>
  <c r="AE330" i="1" s="1"/>
  <c r="D71" i="6"/>
  <c r="AE27" i="1" s="1"/>
  <c r="D108" i="6"/>
  <c r="AE189" i="1" s="1"/>
  <c r="D138" i="6"/>
  <c r="AE90" i="1" s="1"/>
  <c r="D186" i="6"/>
  <c r="AE256" i="1" s="1"/>
  <c r="D45" i="6"/>
  <c r="AE85" i="1" s="1"/>
  <c r="D102" i="6"/>
  <c r="AE79" i="1" s="1"/>
  <c r="D96" i="6"/>
  <c r="AE212" i="1" s="1"/>
  <c r="D179" i="6"/>
  <c r="AE134" i="1" s="1"/>
  <c r="D173" i="6"/>
  <c r="AE4" i="1" s="1"/>
  <c r="D49" i="6"/>
  <c r="AE298" i="1" s="1"/>
  <c r="D72" i="6"/>
  <c r="AE133" i="1" s="1"/>
  <c r="D95" i="6"/>
  <c r="AE94" i="1" s="1"/>
  <c r="D77" i="6"/>
  <c r="AE76" i="1" s="1"/>
  <c r="D107" i="6"/>
  <c r="AE251" i="1" s="1"/>
  <c r="D167" i="6"/>
  <c r="AE271" i="1" s="1"/>
  <c r="D17" i="6"/>
  <c r="AE228" i="1" s="1"/>
  <c r="D14" i="6"/>
  <c r="AE139" i="1" s="1"/>
  <c r="D35" i="6"/>
  <c r="AE67" i="1" s="1"/>
  <c r="D62" i="6"/>
  <c r="AE215" i="1" s="1"/>
  <c r="D79" i="6"/>
  <c r="AE166" i="1" s="1"/>
  <c r="D132" i="6"/>
  <c r="AE128" i="1" s="1"/>
  <c r="D194" i="6"/>
  <c r="AE168" i="1" s="1"/>
  <c r="D201" i="6"/>
  <c r="AE342" i="1" s="1"/>
  <c r="D61" i="6"/>
  <c r="AE34" i="1" s="1"/>
  <c r="D73" i="6"/>
  <c r="AE332" i="1" s="1"/>
  <c r="D84" i="6"/>
  <c r="AE92" i="1" s="1"/>
  <c r="D113" i="6"/>
  <c r="AE264" i="1" s="1"/>
  <c r="D128" i="6"/>
  <c r="AE40" i="1" s="1"/>
  <c r="D136" i="6"/>
  <c r="AE226" i="1" s="1"/>
  <c r="D163" i="6"/>
  <c r="AE308" i="1" s="1"/>
  <c r="D28" i="6"/>
  <c r="AE105" i="1" s="1"/>
  <c r="D193" i="6"/>
  <c r="AE207" i="1" s="1"/>
  <c r="D50" i="6"/>
  <c r="AE219" i="1" s="1"/>
  <c r="D58" i="6"/>
  <c r="AE110" i="1" s="1"/>
  <c r="D90" i="6"/>
  <c r="AE337" i="1" s="1"/>
  <c r="D164" i="6"/>
  <c r="AE202" i="1" s="1"/>
  <c r="D202" i="6"/>
  <c r="AE109" i="1" s="1"/>
  <c r="D199" i="6"/>
  <c r="AE31" i="1" s="1"/>
  <c r="D5" i="6"/>
  <c r="AE145" i="1" s="1"/>
  <c r="D59" i="6"/>
  <c r="AE53" i="1" s="1"/>
  <c r="D70" i="6"/>
  <c r="AE146" i="1" s="1"/>
  <c r="D155" i="6"/>
  <c r="AE151" i="1" s="1"/>
  <c r="D116" i="6"/>
  <c r="AE300" i="1" s="1"/>
  <c r="D141" i="6"/>
  <c r="D205" i="6"/>
  <c r="AE164" i="1" s="1"/>
  <c r="D41" i="6"/>
  <c r="AE247" i="1" s="1"/>
  <c r="D148" i="6"/>
  <c r="AE290" i="1" s="1"/>
  <c r="D184" i="6"/>
  <c r="AE249" i="1" s="1"/>
  <c r="AE160" i="1"/>
  <c r="D187" i="6"/>
  <c r="AE238" i="1" s="1"/>
  <c r="D207" i="6"/>
  <c r="AE158" i="1" s="1"/>
  <c r="D216" i="6"/>
  <c r="AE268" i="1" s="1"/>
  <c r="D92" i="6"/>
  <c r="AE78" i="1" s="1"/>
  <c r="D78" i="6"/>
  <c r="AE169" i="1" s="1"/>
  <c r="D110" i="6"/>
  <c r="AE174" i="1" s="1"/>
  <c r="D152" i="6"/>
  <c r="AE129" i="1" s="1"/>
  <c r="D158" i="6"/>
  <c r="AE269" i="1" s="1"/>
  <c r="D145" i="6"/>
  <c r="AE77" i="1" s="1"/>
  <c r="D195" i="6"/>
  <c r="AE336" i="1" s="1"/>
  <c r="D16" i="6"/>
  <c r="AE288" i="1" s="1"/>
  <c r="D20" i="6"/>
  <c r="AE265" i="1" s="1"/>
  <c r="D76" i="6"/>
  <c r="AE334" i="1" s="1"/>
  <c r="D82" i="6"/>
  <c r="AE11" i="1" s="1"/>
  <c r="D157" i="6"/>
  <c r="AE104" i="1" s="1"/>
  <c r="D118" i="6"/>
  <c r="AE276" i="1" s="1"/>
  <c r="D153" i="6"/>
  <c r="AE208" i="1" s="1"/>
  <c r="D211" i="6"/>
  <c r="AE33" i="1" s="1"/>
  <c r="D99" i="6"/>
  <c r="AE272" i="1" s="1"/>
  <c r="D94" i="6"/>
  <c r="AE185" i="1" s="1"/>
  <c r="D156" i="6"/>
  <c r="AE119" i="1" s="1"/>
  <c r="D182" i="6"/>
  <c r="AE211" i="1" s="1"/>
  <c r="D188" i="6"/>
  <c r="AE8" i="1" s="1"/>
  <c r="D144" i="6"/>
  <c r="AE12" i="1" s="1"/>
  <c r="Z290" i="1"/>
  <c r="Z292" i="1"/>
  <c r="Y291" i="1"/>
  <c r="U292" i="1"/>
  <c r="N292" i="1"/>
  <c r="R292" i="1" s="1"/>
  <c r="O292" i="1"/>
  <c r="S292" i="1" s="1"/>
  <c r="AA292" i="1"/>
  <c r="N291" i="1"/>
  <c r="R291" i="1" s="1"/>
  <c r="O291" i="1"/>
  <c r="S291" i="1" s="1"/>
  <c r="U291" i="1"/>
  <c r="AA291" i="1"/>
  <c r="Z287" i="1"/>
  <c r="Z293" i="1"/>
  <c r="Y288" i="1"/>
  <c r="Y289" i="1"/>
  <c r="U289" i="1"/>
  <c r="U290" i="1"/>
  <c r="N290" i="1"/>
  <c r="R290" i="1" s="1"/>
  <c r="O290" i="1"/>
  <c r="S290" i="1" s="1"/>
  <c r="N289" i="1"/>
  <c r="R289" i="1" s="1"/>
  <c r="O289" i="1"/>
  <c r="S289" i="1" s="1"/>
  <c r="AA290" i="1"/>
  <c r="AA289" i="1"/>
  <c r="N288" i="1"/>
  <c r="R288" i="1" s="1"/>
  <c r="O288" i="1"/>
  <c r="S288" i="1" s="1"/>
  <c r="U288" i="1"/>
  <c r="AA288" i="1"/>
  <c r="V293" i="1"/>
  <c r="N293" i="1"/>
  <c r="R293" i="1" s="1"/>
  <c r="O293" i="1"/>
  <c r="S293" i="1" s="1"/>
  <c r="U293" i="1"/>
  <c r="AA293" i="1"/>
  <c r="Z284" i="1"/>
  <c r="Y286" i="1"/>
  <c r="U287" i="1"/>
  <c r="V287" i="1"/>
  <c r="N287" i="1"/>
  <c r="R287" i="1" s="1"/>
  <c r="O287" i="1"/>
  <c r="S287" i="1" s="1"/>
  <c r="AA287" i="1"/>
  <c r="V286" i="1"/>
  <c r="N286" i="1"/>
  <c r="R286" i="1" s="1"/>
  <c r="O286" i="1"/>
  <c r="S286" i="1" s="1"/>
  <c r="U286" i="1"/>
  <c r="AA286" i="1"/>
  <c r="Z280" i="1"/>
  <c r="Y282" i="1"/>
  <c r="Y283" i="1"/>
  <c r="U284" i="1"/>
  <c r="U283" i="1"/>
  <c r="N283" i="1"/>
  <c r="R283" i="1" s="1"/>
  <c r="O283" i="1"/>
  <c r="S283" i="1" s="1"/>
  <c r="N284" i="1"/>
  <c r="R284" i="1" s="1"/>
  <c r="O284" i="1"/>
  <c r="S284" i="1" s="1"/>
  <c r="AA283" i="1"/>
  <c r="AA284" i="1"/>
  <c r="D89" i="6"/>
  <c r="AE283" i="1" s="1"/>
  <c r="D57" i="6"/>
  <c r="AE282" i="1" s="1"/>
  <c r="N282" i="1"/>
  <c r="R282" i="1" s="1"/>
  <c r="O282" i="1"/>
  <c r="S282" i="1" s="1"/>
  <c r="U282" i="1"/>
  <c r="AA282" i="1"/>
  <c r="N342" i="1"/>
  <c r="R342" i="1" s="1"/>
  <c r="O342" i="1"/>
  <c r="S342" i="1" s="1"/>
  <c r="U342" i="1"/>
  <c r="Y51" i="1"/>
  <c r="Y53" i="1"/>
  <c r="Z343" i="1"/>
  <c r="Z344" i="1"/>
  <c r="Z345" i="1"/>
  <c r="Z346" i="1"/>
  <c r="Z347" i="1"/>
  <c r="Z348" i="1"/>
  <c r="Z349" i="1"/>
  <c r="Z350" i="1"/>
  <c r="Z351" i="1"/>
  <c r="Z352" i="1"/>
  <c r="Z353" i="1"/>
  <c r="Z355" i="1"/>
  <c r="Z356" i="1"/>
  <c r="Z357" i="1"/>
  <c r="Z358" i="1"/>
  <c r="Z360" i="1"/>
  <c r="Z361" i="1"/>
  <c r="Z362" i="1"/>
  <c r="Z363" i="1"/>
  <c r="Z365" i="1"/>
  <c r="Z366" i="1"/>
  <c r="Z367" i="1"/>
  <c r="Z368" i="1"/>
  <c r="Z369" i="1"/>
  <c r="Z370" i="1"/>
  <c r="Z371" i="1"/>
  <c r="Z372" i="1"/>
  <c r="Z373" i="1"/>
  <c r="Z4" i="1"/>
  <c r="Z8" i="1"/>
  <c r="Z12" i="1"/>
  <c r="Z16" i="1"/>
  <c r="Z19" i="1"/>
  <c r="Z21" i="1"/>
  <c r="Z24" i="1"/>
  <c r="Z28" i="1"/>
  <c r="Z31" i="1"/>
  <c r="Z33" i="1"/>
  <c r="Z35" i="1"/>
  <c r="Z38" i="1"/>
  <c r="Z40" i="1"/>
  <c r="Z41" i="1"/>
  <c r="Z50" i="1"/>
  <c r="Z52" i="1"/>
  <c r="Z54" i="1"/>
  <c r="Z56" i="1"/>
  <c r="Z58" i="1"/>
  <c r="Z60" i="1"/>
  <c r="Z62" i="1"/>
  <c r="Z64" i="1"/>
  <c r="Z66" i="1"/>
  <c r="Z68" i="1"/>
  <c r="Z70" i="1"/>
  <c r="Z72" i="1"/>
  <c r="Z75" i="1"/>
  <c r="Z76" i="1"/>
  <c r="Z77" i="1"/>
  <c r="Z80" i="1"/>
  <c r="Z82" i="1"/>
  <c r="Z84" i="1"/>
  <c r="Z86" i="1"/>
  <c r="Z88" i="1"/>
  <c r="Z90" i="1"/>
  <c r="Z91" i="1"/>
  <c r="Z93" i="1"/>
  <c r="Z95" i="1"/>
  <c r="Z97" i="1"/>
  <c r="Z99" i="1"/>
  <c r="Z101" i="1"/>
  <c r="Z104" i="1"/>
  <c r="Z106" i="1"/>
  <c r="Z109" i="1"/>
  <c r="Z111" i="1"/>
  <c r="Z114" i="1"/>
  <c r="Z117" i="1"/>
  <c r="Z120" i="1"/>
  <c r="Z123" i="1"/>
  <c r="Z125" i="1"/>
  <c r="Z126" i="1"/>
  <c r="Z127" i="1"/>
  <c r="Z128" i="1"/>
  <c r="Z129" i="1"/>
  <c r="Z130" i="1"/>
  <c r="Z131" i="1"/>
  <c r="Z132" i="1"/>
  <c r="Z134" i="1"/>
  <c r="Z137" i="1"/>
  <c r="Z141" i="1"/>
  <c r="Z142" i="1"/>
  <c r="Z144" i="1"/>
  <c r="Z147" i="1"/>
  <c r="Z150" i="1"/>
  <c r="Z151" i="1"/>
  <c r="Z152" i="1"/>
  <c r="Z158" i="1"/>
  <c r="Z160" i="1"/>
  <c r="Z162" i="1"/>
  <c r="Z163" i="1"/>
  <c r="Z164" i="1"/>
  <c r="Z166" i="1"/>
  <c r="Z167" i="1"/>
  <c r="Z168" i="1"/>
  <c r="Z169" i="1"/>
  <c r="Z170" i="1"/>
  <c r="Z173" i="1"/>
  <c r="Z174" i="1"/>
  <c r="Z175" i="1"/>
  <c r="Z176" i="1"/>
  <c r="Z177" i="1"/>
  <c r="Z179" i="1"/>
  <c r="Z182" i="1"/>
  <c r="Z186" i="1"/>
  <c r="Z189" i="1"/>
  <c r="Z192" i="1"/>
  <c r="Z195" i="1"/>
  <c r="Z196" i="1"/>
  <c r="Z197" i="1"/>
  <c r="Z198" i="1"/>
  <c r="Z199" i="1"/>
  <c r="Z202" i="1"/>
  <c r="Z203" i="1"/>
  <c r="Z206" i="1"/>
  <c r="Z208" i="1"/>
  <c r="Z211" i="1"/>
  <c r="Z213" i="1"/>
  <c r="Z216" i="1"/>
  <c r="Z218" i="1"/>
  <c r="Z221" i="1"/>
  <c r="Z224" i="1"/>
  <c r="Z226" i="1"/>
  <c r="Z228" i="1"/>
  <c r="Z230" i="1"/>
  <c r="Z232" i="1"/>
  <c r="Z233" i="1"/>
  <c r="Z235" i="1"/>
  <c r="Z238" i="1"/>
  <c r="Z240" i="1"/>
  <c r="Z241" i="1"/>
  <c r="Z242" i="1"/>
  <c r="Z244" i="1"/>
  <c r="Z245" i="1"/>
  <c r="Z246" i="1"/>
  <c r="Z249" i="1"/>
  <c r="Z251" i="1"/>
  <c r="Z253" i="1"/>
  <c r="Z254" i="1"/>
  <c r="Z256" i="1"/>
  <c r="Z258" i="1"/>
  <c r="Z260" i="1"/>
  <c r="Z262" i="1"/>
  <c r="Z263" i="1"/>
  <c r="Z265" i="1"/>
  <c r="Z267" i="1"/>
  <c r="Z269" i="1"/>
  <c r="Z271" i="1"/>
  <c r="Z272" i="1"/>
  <c r="Z273" i="1"/>
  <c r="Z275" i="1"/>
  <c r="Z276" i="1"/>
  <c r="Z277" i="1"/>
  <c r="Z296" i="1"/>
  <c r="Z300" i="1"/>
  <c r="Z304" i="1"/>
  <c r="Z333" i="1"/>
  <c r="Z334" i="1"/>
  <c r="Z335" i="1"/>
  <c r="Z336" i="1"/>
  <c r="Z337" i="1"/>
  <c r="Z338" i="1"/>
  <c r="D154" i="6"/>
  <c r="AE307" i="1" s="1"/>
  <c r="Y306" i="1"/>
  <c r="Y307" i="1"/>
  <c r="U308" i="1"/>
  <c r="N308" i="1"/>
  <c r="R308" i="1" s="1"/>
  <c r="O308" i="1"/>
  <c r="S308" i="1" s="1"/>
  <c r="AA308" i="1"/>
  <c r="N307" i="1"/>
  <c r="R307" i="1" s="1"/>
  <c r="O307" i="1"/>
  <c r="S307" i="1" s="1"/>
  <c r="U307" i="1"/>
  <c r="AA307" i="1"/>
  <c r="N306" i="1"/>
  <c r="R306" i="1" s="1"/>
  <c r="O306" i="1"/>
  <c r="S306" i="1" s="1"/>
  <c r="U306" i="1"/>
  <c r="AA306" i="1"/>
  <c r="N299" i="1"/>
  <c r="R299" i="1" s="1"/>
  <c r="O299" i="1"/>
  <c r="S299" i="1" s="1"/>
  <c r="N300" i="1"/>
  <c r="R300" i="1" s="1"/>
  <c r="O300" i="1"/>
  <c r="S300" i="1" s="1"/>
  <c r="AA300" i="1"/>
  <c r="V300" i="1"/>
  <c r="U300" i="1"/>
  <c r="V299" i="1"/>
  <c r="U299" i="1"/>
  <c r="AA299" i="1"/>
  <c r="N298" i="1"/>
  <c r="R298" i="1" s="1"/>
  <c r="O298" i="1"/>
  <c r="S298" i="1" s="1"/>
  <c r="V298" i="1"/>
  <c r="U298" i="1"/>
  <c r="AA298" i="1"/>
  <c r="Y302" i="1"/>
  <c r="Y303" i="1"/>
  <c r="D215" i="6"/>
  <c r="AE304" i="1" s="1"/>
  <c r="U304" i="1"/>
  <c r="AA304" i="1"/>
  <c r="N304" i="1"/>
  <c r="R304" i="1" s="1"/>
  <c r="O304" i="1"/>
  <c r="S304" i="1" s="1"/>
  <c r="D190" i="6"/>
  <c r="AE296" i="1" s="1"/>
  <c r="D22" i="6"/>
  <c r="AE124" i="1" s="1"/>
  <c r="D65" i="6"/>
  <c r="AE303" i="1" s="1"/>
  <c r="U303" i="1"/>
  <c r="N303" i="1"/>
  <c r="R303" i="1" s="1"/>
  <c r="O303" i="1"/>
  <c r="S303" i="1" s="1"/>
  <c r="AA303" i="1"/>
  <c r="N302" i="1"/>
  <c r="R302" i="1" s="1"/>
  <c r="O302" i="1"/>
  <c r="S302" i="1" s="1"/>
  <c r="U302" i="1"/>
  <c r="AA302" i="1"/>
  <c r="D103" i="6"/>
  <c r="AE241" i="1" s="1"/>
  <c r="D4" i="6"/>
  <c r="AE294" i="1" s="1"/>
  <c r="O3" i="1"/>
  <c r="S3" i="1" s="1"/>
  <c r="O4" i="1"/>
  <c r="S4" i="1" s="1"/>
  <c r="O6" i="1"/>
  <c r="S6" i="1" s="1"/>
  <c r="O7" i="1"/>
  <c r="S7" i="1" s="1"/>
  <c r="O8" i="1"/>
  <c r="S8" i="1" s="1"/>
  <c r="O10" i="1"/>
  <c r="S10" i="1" s="1"/>
  <c r="O11" i="1"/>
  <c r="S11" i="1" s="1"/>
  <c r="O12" i="1"/>
  <c r="S12" i="1" s="1"/>
  <c r="O14" i="1"/>
  <c r="S14" i="1" s="1"/>
  <c r="O15" i="1"/>
  <c r="S15" i="1" s="1"/>
  <c r="O16" i="1"/>
  <c r="S16" i="1" s="1"/>
  <c r="O18" i="1"/>
  <c r="S18" i="1" s="1"/>
  <c r="O19" i="1"/>
  <c r="S19" i="1" s="1"/>
  <c r="O20" i="1"/>
  <c r="S20" i="1" s="1"/>
  <c r="O21" i="1"/>
  <c r="S21" i="1" s="1"/>
  <c r="O22" i="1"/>
  <c r="S22" i="1" s="1"/>
  <c r="O23" i="1"/>
  <c r="S23" i="1" s="1"/>
  <c r="O24" i="1"/>
  <c r="S24" i="1" s="1"/>
  <c r="O26" i="1"/>
  <c r="S26" i="1" s="1"/>
  <c r="O27" i="1"/>
  <c r="S27" i="1" s="1"/>
  <c r="O28" i="1"/>
  <c r="S28" i="1" s="1"/>
  <c r="O30" i="1"/>
  <c r="S30" i="1" s="1"/>
  <c r="O31" i="1"/>
  <c r="S31" i="1" s="1"/>
  <c r="O32" i="1"/>
  <c r="S32" i="1" s="1"/>
  <c r="O33" i="1"/>
  <c r="S33" i="1" s="1"/>
  <c r="O34" i="1"/>
  <c r="S34" i="1" s="1"/>
  <c r="O35" i="1"/>
  <c r="S35" i="1" s="1"/>
  <c r="O38" i="1"/>
  <c r="S38" i="1" s="1"/>
  <c r="O39" i="1"/>
  <c r="S39" i="1" s="1"/>
  <c r="O40" i="1"/>
  <c r="S40" i="1" s="1"/>
  <c r="O41" i="1"/>
  <c r="S41" i="1" s="1"/>
  <c r="O42" i="1"/>
  <c r="S42" i="1" s="1"/>
  <c r="O43" i="1"/>
  <c r="S43" i="1" s="1"/>
  <c r="O44" i="1"/>
  <c r="S44" i="1" s="1"/>
  <c r="O46" i="1"/>
  <c r="S46" i="1" s="1"/>
  <c r="O47" i="1"/>
  <c r="S47" i="1" s="1"/>
  <c r="O48" i="1"/>
  <c r="S48" i="1" s="1"/>
  <c r="O49" i="1"/>
  <c r="S49" i="1" s="1"/>
  <c r="O50" i="1"/>
  <c r="S50" i="1" s="1"/>
  <c r="O51" i="1"/>
  <c r="S51" i="1" s="1"/>
  <c r="O52" i="1"/>
  <c r="S52" i="1" s="1"/>
  <c r="O53" i="1"/>
  <c r="S53" i="1" s="1"/>
  <c r="O54" i="1"/>
  <c r="S54" i="1" s="1"/>
  <c r="O55" i="1"/>
  <c r="S55" i="1" s="1"/>
  <c r="O56" i="1"/>
  <c r="S56" i="1" s="1"/>
  <c r="O57" i="1"/>
  <c r="S57" i="1" s="1"/>
  <c r="O58" i="1"/>
  <c r="S58" i="1" s="1"/>
  <c r="O59" i="1"/>
  <c r="S59" i="1" s="1"/>
  <c r="O60" i="1"/>
  <c r="S60" i="1" s="1"/>
  <c r="O61" i="1"/>
  <c r="S61" i="1" s="1"/>
  <c r="O62" i="1"/>
  <c r="S62" i="1" s="1"/>
  <c r="O63" i="1"/>
  <c r="S63" i="1" s="1"/>
  <c r="O64" i="1"/>
  <c r="S64" i="1" s="1"/>
  <c r="O65" i="1"/>
  <c r="S65" i="1" s="1"/>
  <c r="O66" i="1"/>
  <c r="S66" i="1" s="1"/>
  <c r="O67" i="1"/>
  <c r="S67" i="1" s="1"/>
  <c r="O68" i="1"/>
  <c r="S68" i="1" s="1"/>
  <c r="O69" i="1"/>
  <c r="S69" i="1" s="1"/>
  <c r="O70" i="1"/>
  <c r="S70" i="1" s="1"/>
  <c r="O71" i="1"/>
  <c r="S71" i="1" s="1"/>
  <c r="O72" i="1"/>
  <c r="S72" i="1" s="1"/>
  <c r="O73" i="1"/>
  <c r="S73" i="1" s="1"/>
  <c r="O74" i="1"/>
  <c r="S74" i="1" s="1"/>
  <c r="O75" i="1"/>
  <c r="S75" i="1" s="1"/>
  <c r="O76" i="1"/>
  <c r="S76" i="1" s="1"/>
  <c r="O77" i="1"/>
  <c r="S77" i="1" s="1"/>
  <c r="O78" i="1"/>
  <c r="S78" i="1" s="1"/>
  <c r="O79" i="1"/>
  <c r="S79" i="1" s="1"/>
  <c r="O80" i="1"/>
  <c r="S80" i="1" s="1"/>
  <c r="O81" i="1"/>
  <c r="S81" i="1" s="1"/>
  <c r="O82" i="1"/>
  <c r="S82" i="1" s="1"/>
  <c r="O83" i="1"/>
  <c r="S83" i="1" s="1"/>
  <c r="O84" i="1"/>
  <c r="S84" i="1" s="1"/>
  <c r="O85" i="1"/>
  <c r="S85" i="1" s="1"/>
  <c r="O86" i="1"/>
  <c r="S86" i="1" s="1"/>
  <c r="O87" i="1"/>
  <c r="S87" i="1" s="1"/>
  <c r="O88" i="1"/>
  <c r="S88" i="1" s="1"/>
  <c r="O89" i="1"/>
  <c r="S89" i="1" s="1"/>
  <c r="O90" i="1"/>
  <c r="S90" i="1" s="1"/>
  <c r="O91" i="1"/>
  <c r="S91" i="1" s="1"/>
  <c r="O92" i="1"/>
  <c r="S92" i="1" s="1"/>
  <c r="O93" i="1"/>
  <c r="S93" i="1" s="1"/>
  <c r="O94" i="1"/>
  <c r="S94" i="1" s="1"/>
  <c r="O95" i="1"/>
  <c r="S95" i="1" s="1"/>
  <c r="O96" i="1"/>
  <c r="S96" i="1" s="1"/>
  <c r="O97" i="1"/>
  <c r="S97" i="1" s="1"/>
  <c r="O98" i="1"/>
  <c r="S98" i="1" s="1"/>
  <c r="O99" i="1"/>
  <c r="S99" i="1" s="1"/>
  <c r="O100" i="1"/>
  <c r="S100" i="1" s="1"/>
  <c r="O101" i="1"/>
  <c r="S101" i="1" s="1"/>
  <c r="O102" i="1"/>
  <c r="S102" i="1" s="1"/>
  <c r="O103" i="1"/>
  <c r="S103" i="1" s="1"/>
  <c r="O104" i="1"/>
  <c r="S104" i="1" s="1"/>
  <c r="O105" i="1"/>
  <c r="S105" i="1" s="1"/>
  <c r="O106" i="1"/>
  <c r="S106" i="1" s="1"/>
  <c r="O107" i="1"/>
  <c r="S107" i="1" s="1"/>
  <c r="O108" i="1"/>
  <c r="S108" i="1" s="1"/>
  <c r="O109" i="1"/>
  <c r="S109" i="1" s="1"/>
  <c r="O110" i="1"/>
  <c r="S110" i="1" s="1"/>
  <c r="O111" i="1"/>
  <c r="S111" i="1" s="1"/>
  <c r="O112" i="1"/>
  <c r="S112" i="1" s="1"/>
  <c r="O113" i="1"/>
  <c r="S113" i="1" s="1"/>
  <c r="O114" i="1"/>
  <c r="S114" i="1" s="1"/>
  <c r="O115" i="1"/>
  <c r="S115" i="1" s="1"/>
  <c r="O116" i="1"/>
  <c r="S116" i="1" s="1"/>
  <c r="O117" i="1"/>
  <c r="S117" i="1" s="1"/>
  <c r="O118" i="1"/>
  <c r="S118" i="1" s="1"/>
  <c r="O119" i="1"/>
  <c r="S119" i="1" s="1"/>
  <c r="O120" i="1"/>
  <c r="S120" i="1" s="1"/>
  <c r="O122" i="1"/>
  <c r="S122" i="1" s="1"/>
  <c r="O123" i="1"/>
  <c r="S123" i="1" s="1"/>
  <c r="O124" i="1"/>
  <c r="S124" i="1" s="1"/>
  <c r="O125" i="1"/>
  <c r="S125" i="1" s="1"/>
  <c r="O126" i="1"/>
  <c r="S126" i="1" s="1"/>
  <c r="O127" i="1"/>
  <c r="S127" i="1" s="1"/>
  <c r="O128" i="1"/>
  <c r="S128" i="1" s="1"/>
  <c r="O129" i="1"/>
  <c r="S129" i="1" s="1"/>
  <c r="O130" i="1"/>
  <c r="S130" i="1" s="1"/>
  <c r="O131" i="1"/>
  <c r="S131" i="1" s="1"/>
  <c r="O132" i="1"/>
  <c r="S132" i="1" s="1"/>
  <c r="O133" i="1"/>
  <c r="S133" i="1" s="1"/>
  <c r="O134" i="1"/>
  <c r="S134" i="1" s="1"/>
  <c r="O135" i="1"/>
  <c r="S135" i="1" s="1"/>
  <c r="O136" i="1"/>
  <c r="S136" i="1" s="1"/>
  <c r="O137" i="1"/>
  <c r="S137" i="1" s="1"/>
  <c r="O139" i="1"/>
  <c r="S139" i="1" s="1"/>
  <c r="O140" i="1"/>
  <c r="S140" i="1" s="1"/>
  <c r="O141" i="1"/>
  <c r="S141" i="1" s="1"/>
  <c r="O142" i="1"/>
  <c r="S142" i="1" s="1"/>
  <c r="O143" i="1"/>
  <c r="S143" i="1" s="1"/>
  <c r="O144" i="1"/>
  <c r="S144" i="1" s="1"/>
  <c r="O145" i="1"/>
  <c r="S145" i="1" s="1"/>
  <c r="O146" i="1"/>
  <c r="S146" i="1" s="1"/>
  <c r="O147" i="1"/>
  <c r="S147" i="1" s="1"/>
  <c r="O149" i="1"/>
  <c r="S149" i="1" s="1"/>
  <c r="O150" i="1"/>
  <c r="S150" i="1" s="1"/>
  <c r="O151" i="1"/>
  <c r="S151" i="1" s="1"/>
  <c r="O152" i="1"/>
  <c r="S152" i="1" s="1"/>
  <c r="O158" i="1"/>
  <c r="S158" i="1" s="1"/>
  <c r="O160" i="1"/>
  <c r="S160" i="1" s="1"/>
  <c r="O162" i="1"/>
  <c r="S162" i="1" s="1"/>
  <c r="O163" i="1"/>
  <c r="S163" i="1" s="1"/>
  <c r="O164" i="1"/>
  <c r="S164" i="1" s="1"/>
  <c r="O166" i="1"/>
  <c r="S166" i="1" s="1"/>
  <c r="O167" i="1"/>
  <c r="S167" i="1" s="1"/>
  <c r="O168" i="1"/>
  <c r="S168" i="1" s="1"/>
  <c r="O169" i="1"/>
  <c r="S169" i="1" s="1"/>
  <c r="O170" i="1"/>
  <c r="S170" i="1" s="1"/>
  <c r="O172" i="1"/>
  <c r="S172" i="1" s="1"/>
  <c r="O173" i="1"/>
  <c r="S173" i="1" s="1"/>
  <c r="O174" i="1"/>
  <c r="S174" i="1" s="1"/>
  <c r="O175" i="1"/>
  <c r="S175" i="1" s="1"/>
  <c r="O176" i="1"/>
  <c r="S176" i="1" s="1"/>
  <c r="O177" i="1"/>
  <c r="S177" i="1" s="1"/>
  <c r="O178" i="1"/>
  <c r="S178" i="1" s="1"/>
  <c r="O179" i="1"/>
  <c r="S179" i="1" s="1"/>
  <c r="O180" i="1"/>
  <c r="S180" i="1" s="1"/>
  <c r="O181" i="1"/>
  <c r="S181" i="1" s="1"/>
  <c r="O182" i="1"/>
  <c r="S182" i="1" s="1"/>
  <c r="O184" i="1"/>
  <c r="S184" i="1" s="1"/>
  <c r="O185" i="1"/>
  <c r="S185" i="1" s="1"/>
  <c r="O186" i="1"/>
  <c r="S186" i="1" s="1"/>
  <c r="O187" i="1"/>
  <c r="S187" i="1" s="1"/>
  <c r="O188" i="1"/>
  <c r="S188" i="1" s="1"/>
  <c r="O189" i="1"/>
  <c r="S189" i="1" s="1"/>
  <c r="O190" i="1"/>
  <c r="S190" i="1" s="1"/>
  <c r="O191" i="1"/>
  <c r="S191" i="1" s="1"/>
  <c r="O192" i="1"/>
  <c r="S192" i="1" s="1"/>
  <c r="O194" i="1"/>
  <c r="S194" i="1" s="1"/>
  <c r="O195" i="1"/>
  <c r="S195" i="1" s="1"/>
  <c r="O196" i="1"/>
  <c r="S196" i="1" s="1"/>
  <c r="O197" i="1"/>
  <c r="S197" i="1" s="1"/>
  <c r="O198" i="1"/>
  <c r="S198" i="1" s="1"/>
  <c r="O199" i="1"/>
  <c r="S199" i="1" s="1"/>
  <c r="O200" i="1"/>
  <c r="S200" i="1" s="1"/>
  <c r="O201" i="1"/>
  <c r="S201" i="1" s="1"/>
  <c r="O202" i="1"/>
  <c r="S202" i="1" s="1"/>
  <c r="O203" i="1"/>
  <c r="S203" i="1" s="1"/>
  <c r="O204" i="1"/>
  <c r="S204" i="1" s="1"/>
  <c r="O205" i="1"/>
  <c r="S205" i="1" s="1"/>
  <c r="O206" i="1"/>
  <c r="S206" i="1" s="1"/>
  <c r="O207" i="1"/>
  <c r="S207" i="1" s="1"/>
  <c r="O208" i="1"/>
  <c r="S208" i="1" s="1"/>
  <c r="O209" i="1"/>
  <c r="S209" i="1" s="1"/>
  <c r="O210" i="1"/>
  <c r="S210" i="1" s="1"/>
  <c r="O211" i="1"/>
  <c r="S211" i="1" s="1"/>
  <c r="O212" i="1"/>
  <c r="S212" i="1" s="1"/>
  <c r="O213" i="1"/>
  <c r="S213" i="1" s="1"/>
  <c r="O214" i="1"/>
  <c r="S214" i="1" s="1"/>
  <c r="O215" i="1"/>
  <c r="S215" i="1" s="1"/>
  <c r="O216" i="1"/>
  <c r="S216" i="1" s="1"/>
  <c r="O217" i="1"/>
  <c r="S217" i="1" s="1"/>
  <c r="O218" i="1"/>
  <c r="S218" i="1" s="1"/>
  <c r="O219" i="1"/>
  <c r="S219" i="1" s="1"/>
  <c r="O220" i="1"/>
  <c r="S220" i="1" s="1"/>
  <c r="O221" i="1"/>
  <c r="S221" i="1" s="1"/>
  <c r="O222" i="1"/>
  <c r="S222" i="1" s="1"/>
  <c r="O223" i="1"/>
  <c r="S223" i="1" s="1"/>
  <c r="O224" i="1"/>
  <c r="S224" i="1" s="1"/>
  <c r="O225" i="1"/>
  <c r="S225" i="1" s="1"/>
  <c r="O226" i="1"/>
  <c r="S226" i="1" s="1"/>
  <c r="O227" i="1"/>
  <c r="S227" i="1" s="1"/>
  <c r="O228" i="1"/>
  <c r="S228" i="1" s="1"/>
  <c r="O229" i="1"/>
  <c r="S229" i="1" s="1"/>
  <c r="O230" i="1"/>
  <c r="S230" i="1" s="1"/>
  <c r="O231" i="1"/>
  <c r="S231" i="1" s="1"/>
  <c r="O232" i="1"/>
  <c r="S232" i="1" s="1"/>
  <c r="O233" i="1"/>
  <c r="S233" i="1" s="1"/>
  <c r="O234" i="1"/>
  <c r="S234" i="1" s="1"/>
  <c r="O235" i="1"/>
  <c r="S235" i="1" s="1"/>
  <c r="O236" i="1"/>
  <c r="S236" i="1" s="1"/>
  <c r="O237" i="1"/>
  <c r="S237" i="1" s="1"/>
  <c r="O238" i="1"/>
  <c r="S238" i="1" s="1"/>
  <c r="O239" i="1"/>
  <c r="S239" i="1" s="1"/>
  <c r="O240" i="1"/>
  <c r="S240" i="1" s="1"/>
  <c r="O241" i="1"/>
  <c r="S241" i="1" s="1"/>
  <c r="O242" i="1"/>
  <c r="S242" i="1" s="1"/>
  <c r="O243" i="1"/>
  <c r="S243" i="1" s="1"/>
  <c r="O244" i="1"/>
  <c r="S244" i="1" s="1"/>
  <c r="O245" i="1"/>
  <c r="S245" i="1" s="1"/>
  <c r="O246" i="1"/>
  <c r="S246" i="1" s="1"/>
  <c r="O247" i="1"/>
  <c r="S247" i="1" s="1"/>
  <c r="O248" i="1"/>
  <c r="S248" i="1" s="1"/>
  <c r="O249" i="1"/>
  <c r="S249" i="1" s="1"/>
  <c r="O250" i="1"/>
  <c r="S250" i="1" s="1"/>
  <c r="O251" i="1"/>
  <c r="S251" i="1" s="1"/>
  <c r="O252" i="1"/>
  <c r="S252" i="1" s="1"/>
  <c r="O253" i="1"/>
  <c r="S253" i="1" s="1"/>
  <c r="O254" i="1"/>
  <c r="S254" i="1" s="1"/>
  <c r="O255" i="1"/>
  <c r="S255" i="1" s="1"/>
  <c r="O256" i="1"/>
  <c r="S256" i="1" s="1"/>
  <c r="O257" i="1"/>
  <c r="S257" i="1" s="1"/>
  <c r="O258" i="1"/>
  <c r="S258" i="1" s="1"/>
  <c r="O259" i="1"/>
  <c r="S259" i="1" s="1"/>
  <c r="O260" i="1"/>
  <c r="S260" i="1" s="1"/>
  <c r="O261" i="1"/>
  <c r="S261" i="1" s="1"/>
  <c r="O262" i="1"/>
  <c r="S262" i="1" s="1"/>
  <c r="O263" i="1"/>
  <c r="S263" i="1" s="1"/>
  <c r="O264" i="1"/>
  <c r="S264" i="1" s="1"/>
  <c r="O265" i="1"/>
  <c r="S265" i="1" s="1"/>
  <c r="O266" i="1"/>
  <c r="S266" i="1" s="1"/>
  <c r="O267" i="1"/>
  <c r="S267" i="1" s="1"/>
  <c r="O268" i="1"/>
  <c r="S268" i="1" s="1"/>
  <c r="O269" i="1"/>
  <c r="S269" i="1" s="1"/>
  <c r="O270" i="1"/>
  <c r="S270" i="1" s="1"/>
  <c r="O271" i="1"/>
  <c r="S271" i="1" s="1"/>
  <c r="O272" i="1"/>
  <c r="S272" i="1" s="1"/>
  <c r="O273" i="1"/>
  <c r="S273" i="1" s="1"/>
  <c r="O274" i="1"/>
  <c r="S274" i="1" s="1"/>
  <c r="O275" i="1"/>
  <c r="S275" i="1" s="1"/>
  <c r="O276" i="1"/>
  <c r="S276" i="1" s="1"/>
  <c r="O277" i="1"/>
  <c r="S277" i="1" s="1"/>
  <c r="O278" i="1"/>
  <c r="S278" i="1" s="1"/>
  <c r="O279" i="1"/>
  <c r="S279" i="1" s="1"/>
  <c r="O280" i="1"/>
  <c r="S280" i="1" s="1"/>
  <c r="O294" i="1"/>
  <c r="S294" i="1" s="1"/>
  <c r="O295" i="1"/>
  <c r="S295" i="1" s="1"/>
  <c r="O296" i="1"/>
  <c r="S296" i="1" s="1"/>
  <c r="O333" i="1"/>
  <c r="O334" i="1"/>
  <c r="O335" i="1"/>
  <c r="O336" i="1"/>
  <c r="O337" i="1"/>
  <c r="O338" i="1"/>
  <c r="O343" i="1"/>
  <c r="S343" i="1" s="1"/>
  <c r="O344" i="1"/>
  <c r="S344" i="1" s="1"/>
  <c r="O345" i="1"/>
  <c r="S345" i="1" s="1"/>
  <c r="O346" i="1"/>
  <c r="S346" i="1" s="1"/>
  <c r="O347" i="1"/>
  <c r="S347" i="1" s="1"/>
  <c r="O348" i="1"/>
  <c r="S348" i="1" s="1"/>
  <c r="O349" i="1"/>
  <c r="S349" i="1" s="1"/>
  <c r="O350" i="1"/>
  <c r="S350" i="1" s="1"/>
  <c r="O351" i="1"/>
  <c r="S351" i="1" s="1"/>
  <c r="O352" i="1"/>
  <c r="S352" i="1" s="1"/>
  <c r="O353" i="1"/>
  <c r="S353" i="1" s="1"/>
  <c r="O355" i="1"/>
  <c r="S355" i="1" s="1"/>
  <c r="O356" i="1"/>
  <c r="S356" i="1" s="1"/>
  <c r="O357" i="1"/>
  <c r="S357" i="1" s="1"/>
  <c r="O358" i="1"/>
  <c r="S358" i="1" s="1"/>
  <c r="O360" i="1"/>
  <c r="S360" i="1" s="1"/>
  <c r="O361" i="1"/>
  <c r="S361" i="1" s="1"/>
  <c r="O362" i="1"/>
  <c r="S362" i="1" s="1"/>
  <c r="O363" i="1"/>
  <c r="S363" i="1" s="1"/>
  <c r="O365" i="1"/>
  <c r="S365" i="1" s="1"/>
  <c r="O366" i="1"/>
  <c r="S366" i="1" s="1"/>
  <c r="O367" i="1"/>
  <c r="S367" i="1" s="1"/>
  <c r="O368" i="1"/>
  <c r="S368" i="1" s="1"/>
  <c r="O369" i="1"/>
  <c r="S369" i="1" s="1"/>
  <c r="O370" i="1"/>
  <c r="S370" i="1" s="1"/>
  <c r="O371" i="1"/>
  <c r="S371" i="1" s="1"/>
  <c r="O372" i="1"/>
  <c r="S372" i="1" s="1"/>
  <c r="O373" i="1"/>
  <c r="S373" i="1" s="1"/>
  <c r="N3" i="1"/>
  <c r="R3" i="1" s="1"/>
  <c r="N4" i="1"/>
  <c r="R4" i="1" s="1"/>
  <c r="N6" i="1"/>
  <c r="R6" i="1" s="1"/>
  <c r="N7" i="1"/>
  <c r="R7" i="1" s="1"/>
  <c r="N8" i="1"/>
  <c r="R8" i="1" s="1"/>
  <c r="N10" i="1"/>
  <c r="R10" i="1" s="1"/>
  <c r="N11" i="1"/>
  <c r="R11" i="1" s="1"/>
  <c r="N12" i="1"/>
  <c r="R12" i="1" s="1"/>
  <c r="N14" i="1"/>
  <c r="R14" i="1" s="1"/>
  <c r="N15" i="1"/>
  <c r="R15" i="1" s="1"/>
  <c r="N16" i="1"/>
  <c r="R16" i="1" s="1"/>
  <c r="N18" i="1"/>
  <c r="R18" i="1" s="1"/>
  <c r="N19" i="1"/>
  <c r="R19" i="1" s="1"/>
  <c r="N20" i="1"/>
  <c r="R20" i="1" s="1"/>
  <c r="N21" i="1"/>
  <c r="R21" i="1" s="1"/>
  <c r="N22" i="1"/>
  <c r="R22" i="1" s="1"/>
  <c r="N23" i="1"/>
  <c r="R23" i="1" s="1"/>
  <c r="N24" i="1"/>
  <c r="R24" i="1" s="1"/>
  <c r="N26" i="1"/>
  <c r="R26" i="1" s="1"/>
  <c r="N27" i="1"/>
  <c r="R27" i="1" s="1"/>
  <c r="N28" i="1"/>
  <c r="R28" i="1" s="1"/>
  <c r="N30" i="1"/>
  <c r="R30" i="1" s="1"/>
  <c r="N31" i="1"/>
  <c r="R31" i="1" s="1"/>
  <c r="N32" i="1"/>
  <c r="R32" i="1" s="1"/>
  <c r="N33" i="1"/>
  <c r="R33" i="1" s="1"/>
  <c r="N34" i="1"/>
  <c r="R34" i="1" s="1"/>
  <c r="N35" i="1"/>
  <c r="R35" i="1" s="1"/>
  <c r="N38" i="1"/>
  <c r="R38" i="1" s="1"/>
  <c r="N39" i="1"/>
  <c r="R39" i="1" s="1"/>
  <c r="N40" i="1"/>
  <c r="R40" i="1" s="1"/>
  <c r="N41" i="1"/>
  <c r="R41" i="1" s="1"/>
  <c r="N42" i="1"/>
  <c r="R42" i="1" s="1"/>
  <c r="N43" i="1"/>
  <c r="R43" i="1" s="1"/>
  <c r="N44" i="1"/>
  <c r="R44" i="1" s="1"/>
  <c r="N46" i="1"/>
  <c r="R46" i="1" s="1"/>
  <c r="N47" i="1"/>
  <c r="R47" i="1" s="1"/>
  <c r="N48" i="1"/>
  <c r="R48" i="1" s="1"/>
  <c r="N49" i="1"/>
  <c r="R49" i="1" s="1"/>
  <c r="N50" i="1"/>
  <c r="R50" i="1" s="1"/>
  <c r="N51" i="1"/>
  <c r="R51" i="1" s="1"/>
  <c r="N52" i="1"/>
  <c r="R52" i="1" s="1"/>
  <c r="N53" i="1"/>
  <c r="R53" i="1" s="1"/>
  <c r="N54" i="1"/>
  <c r="R54" i="1" s="1"/>
  <c r="N55" i="1"/>
  <c r="R55" i="1" s="1"/>
  <c r="N56" i="1"/>
  <c r="R56" i="1" s="1"/>
  <c r="N57" i="1"/>
  <c r="R57" i="1" s="1"/>
  <c r="N58" i="1"/>
  <c r="R58" i="1" s="1"/>
  <c r="N59" i="1"/>
  <c r="R59" i="1" s="1"/>
  <c r="N60" i="1"/>
  <c r="R60" i="1" s="1"/>
  <c r="N61" i="1"/>
  <c r="R61" i="1" s="1"/>
  <c r="N62" i="1"/>
  <c r="R62" i="1" s="1"/>
  <c r="N63" i="1"/>
  <c r="R63" i="1" s="1"/>
  <c r="N64" i="1"/>
  <c r="R64" i="1" s="1"/>
  <c r="N65" i="1"/>
  <c r="R65" i="1" s="1"/>
  <c r="N66" i="1"/>
  <c r="R66" i="1" s="1"/>
  <c r="N67" i="1"/>
  <c r="R67" i="1" s="1"/>
  <c r="N68" i="1"/>
  <c r="R68" i="1" s="1"/>
  <c r="N69" i="1"/>
  <c r="R69" i="1" s="1"/>
  <c r="N70" i="1"/>
  <c r="R70" i="1" s="1"/>
  <c r="N71" i="1"/>
  <c r="R71" i="1" s="1"/>
  <c r="N72" i="1"/>
  <c r="R72" i="1" s="1"/>
  <c r="N73" i="1"/>
  <c r="R73" i="1" s="1"/>
  <c r="N74" i="1"/>
  <c r="R74" i="1" s="1"/>
  <c r="N75" i="1"/>
  <c r="R75" i="1" s="1"/>
  <c r="N76" i="1"/>
  <c r="R76" i="1" s="1"/>
  <c r="N77" i="1"/>
  <c r="R77" i="1" s="1"/>
  <c r="N78" i="1"/>
  <c r="R78" i="1" s="1"/>
  <c r="N79" i="1"/>
  <c r="R79" i="1" s="1"/>
  <c r="N80" i="1"/>
  <c r="R80" i="1" s="1"/>
  <c r="N81" i="1"/>
  <c r="R81" i="1" s="1"/>
  <c r="N82" i="1"/>
  <c r="R82" i="1" s="1"/>
  <c r="N83" i="1"/>
  <c r="R83" i="1" s="1"/>
  <c r="N84" i="1"/>
  <c r="R84" i="1" s="1"/>
  <c r="N85" i="1"/>
  <c r="R85" i="1" s="1"/>
  <c r="N86" i="1"/>
  <c r="R86" i="1" s="1"/>
  <c r="N87" i="1"/>
  <c r="R87" i="1" s="1"/>
  <c r="N88" i="1"/>
  <c r="R88" i="1" s="1"/>
  <c r="N89" i="1"/>
  <c r="R89" i="1" s="1"/>
  <c r="N90" i="1"/>
  <c r="R90" i="1" s="1"/>
  <c r="N91" i="1"/>
  <c r="R91" i="1" s="1"/>
  <c r="N92" i="1"/>
  <c r="R92" i="1" s="1"/>
  <c r="N93" i="1"/>
  <c r="R93" i="1" s="1"/>
  <c r="N94" i="1"/>
  <c r="R94" i="1" s="1"/>
  <c r="N95" i="1"/>
  <c r="R95" i="1" s="1"/>
  <c r="N96" i="1"/>
  <c r="R96" i="1" s="1"/>
  <c r="N97" i="1"/>
  <c r="R97" i="1" s="1"/>
  <c r="N98" i="1"/>
  <c r="R98" i="1" s="1"/>
  <c r="N99" i="1"/>
  <c r="R99" i="1" s="1"/>
  <c r="N100" i="1"/>
  <c r="R100" i="1" s="1"/>
  <c r="N101" i="1"/>
  <c r="R101" i="1" s="1"/>
  <c r="N102" i="1"/>
  <c r="R102" i="1" s="1"/>
  <c r="N103" i="1"/>
  <c r="R103" i="1" s="1"/>
  <c r="N104" i="1"/>
  <c r="R104" i="1" s="1"/>
  <c r="N105" i="1"/>
  <c r="R105" i="1" s="1"/>
  <c r="N106" i="1"/>
  <c r="R106" i="1" s="1"/>
  <c r="N107" i="1"/>
  <c r="R107" i="1" s="1"/>
  <c r="N108" i="1"/>
  <c r="R108" i="1" s="1"/>
  <c r="N109" i="1"/>
  <c r="R109" i="1" s="1"/>
  <c r="N110" i="1"/>
  <c r="R110" i="1" s="1"/>
  <c r="N111" i="1"/>
  <c r="R111" i="1" s="1"/>
  <c r="N112" i="1"/>
  <c r="R112" i="1" s="1"/>
  <c r="N113" i="1"/>
  <c r="R113" i="1" s="1"/>
  <c r="N114" i="1"/>
  <c r="R114" i="1" s="1"/>
  <c r="N115" i="1"/>
  <c r="R115" i="1" s="1"/>
  <c r="N116" i="1"/>
  <c r="R116" i="1" s="1"/>
  <c r="N117" i="1"/>
  <c r="R117" i="1" s="1"/>
  <c r="N118" i="1"/>
  <c r="R118" i="1" s="1"/>
  <c r="N119" i="1"/>
  <c r="R119" i="1" s="1"/>
  <c r="N120" i="1"/>
  <c r="R120" i="1" s="1"/>
  <c r="N122" i="1"/>
  <c r="R122" i="1" s="1"/>
  <c r="N123" i="1"/>
  <c r="R123" i="1" s="1"/>
  <c r="N124" i="1"/>
  <c r="R124" i="1" s="1"/>
  <c r="N125" i="1"/>
  <c r="R125" i="1" s="1"/>
  <c r="N126" i="1"/>
  <c r="R126" i="1" s="1"/>
  <c r="N127" i="1"/>
  <c r="R127" i="1" s="1"/>
  <c r="N128" i="1"/>
  <c r="R128" i="1" s="1"/>
  <c r="N129" i="1"/>
  <c r="R129" i="1" s="1"/>
  <c r="N130" i="1"/>
  <c r="R130" i="1" s="1"/>
  <c r="N131" i="1"/>
  <c r="R131" i="1" s="1"/>
  <c r="N132" i="1"/>
  <c r="R132" i="1" s="1"/>
  <c r="N133" i="1"/>
  <c r="R133" i="1" s="1"/>
  <c r="N134" i="1"/>
  <c r="R134" i="1" s="1"/>
  <c r="N135" i="1"/>
  <c r="R135" i="1" s="1"/>
  <c r="N136" i="1"/>
  <c r="R136" i="1" s="1"/>
  <c r="N137" i="1"/>
  <c r="R137" i="1" s="1"/>
  <c r="N139" i="1"/>
  <c r="R139" i="1" s="1"/>
  <c r="N140" i="1"/>
  <c r="R140" i="1" s="1"/>
  <c r="N141" i="1"/>
  <c r="R141" i="1" s="1"/>
  <c r="N142" i="1"/>
  <c r="R142" i="1" s="1"/>
  <c r="N143" i="1"/>
  <c r="R143" i="1" s="1"/>
  <c r="N144" i="1"/>
  <c r="R144" i="1" s="1"/>
  <c r="N145" i="1"/>
  <c r="R145" i="1" s="1"/>
  <c r="N146" i="1"/>
  <c r="R146" i="1" s="1"/>
  <c r="N147" i="1"/>
  <c r="R147" i="1" s="1"/>
  <c r="N149" i="1"/>
  <c r="R149" i="1" s="1"/>
  <c r="N150" i="1"/>
  <c r="R150" i="1" s="1"/>
  <c r="N151" i="1"/>
  <c r="R151" i="1" s="1"/>
  <c r="N152" i="1"/>
  <c r="R152" i="1" s="1"/>
  <c r="N158" i="1"/>
  <c r="R158" i="1" s="1"/>
  <c r="N160" i="1"/>
  <c r="R160" i="1" s="1"/>
  <c r="N162" i="1"/>
  <c r="R162" i="1" s="1"/>
  <c r="N164" i="1"/>
  <c r="R164" i="1" s="1"/>
  <c r="N166" i="1"/>
  <c r="R166" i="1" s="1"/>
  <c r="N167" i="1"/>
  <c r="R167" i="1" s="1"/>
  <c r="N168" i="1"/>
  <c r="R168" i="1" s="1"/>
  <c r="N169" i="1"/>
  <c r="R169" i="1" s="1"/>
  <c r="N170" i="1"/>
  <c r="R170" i="1" s="1"/>
  <c r="N172" i="1"/>
  <c r="R172" i="1" s="1"/>
  <c r="N173" i="1"/>
  <c r="R173" i="1" s="1"/>
  <c r="N174" i="1"/>
  <c r="R174" i="1" s="1"/>
  <c r="N175" i="1"/>
  <c r="R175" i="1" s="1"/>
  <c r="N176" i="1"/>
  <c r="R176" i="1" s="1"/>
  <c r="N177" i="1"/>
  <c r="R177" i="1" s="1"/>
  <c r="N178" i="1"/>
  <c r="R178" i="1" s="1"/>
  <c r="N179" i="1"/>
  <c r="R179" i="1" s="1"/>
  <c r="N180" i="1"/>
  <c r="R180" i="1" s="1"/>
  <c r="N181" i="1"/>
  <c r="R181" i="1" s="1"/>
  <c r="N182" i="1"/>
  <c r="R182" i="1" s="1"/>
  <c r="N187" i="1"/>
  <c r="R187" i="1" s="1"/>
  <c r="N188" i="1"/>
  <c r="R188" i="1" s="1"/>
  <c r="N189" i="1"/>
  <c r="R189" i="1" s="1"/>
  <c r="N190" i="1"/>
  <c r="R190" i="1" s="1"/>
  <c r="N191" i="1"/>
  <c r="R191" i="1" s="1"/>
  <c r="N192" i="1"/>
  <c r="R192" i="1" s="1"/>
  <c r="N194" i="1"/>
  <c r="R194" i="1" s="1"/>
  <c r="N195" i="1"/>
  <c r="R195" i="1" s="1"/>
  <c r="N196" i="1"/>
  <c r="R196" i="1" s="1"/>
  <c r="N197" i="1"/>
  <c r="R197" i="1" s="1"/>
  <c r="N198" i="1"/>
  <c r="R198" i="1" s="1"/>
  <c r="N199" i="1"/>
  <c r="R199" i="1" s="1"/>
  <c r="N200" i="1"/>
  <c r="R200" i="1" s="1"/>
  <c r="N201" i="1"/>
  <c r="R201" i="1" s="1"/>
  <c r="N202" i="1"/>
  <c r="R202" i="1" s="1"/>
  <c r="N203" i="1"/>
  <c r="R203" i="1" s="1"/>
  <c r="N204" i="1"/>
  <c r="R204" i="1" s="1"/>
  <c r="N205" i="1"/>
  <c r="R205" i="1" s="1"/>
  <c r="N206" i="1"/>
  <c r="R206" i="1" s="1"/>
  <c r="N207" i="1"/>
  <c r="R207" i="1" s="1"/>
  <c r="N208" i="1"/>
  <c r="R208" i="1" s="1"/>
  <c r="N209" i="1"/>
  <c r="R209" i="1" s="1"/>
  <c r="N210" i="1"/>
  <c r="R210" i="1" s="1"/>
  <c r="N211" i="1"/>
  <c r="R211" i="1" s="1"/>
  <c r="N212" i="1"/>
  <c r="R212" i="1" s="1"/>
  <c r="N213" i="1"/>
  <c r="R213" i="1" s="1"/>
  <c r="N214" i="1"/>
  <c r="R214" i="1" s="1"/>
  <c r="N215" i="1"/>
  <c r="R215" i="1" s="1"/>
  <c r="N216" i="1"/>
  <c r="R216" i="1" s="1"/>
  <c r="N217" i="1"/>
  <c r="R217" i="1" s="1"/>
  <c r="N218" i="1"/>
  <c r="R218" i="1" s="1"/>
  <c r="N219" i="1"/>
  <c r="R219" i="1" s="1"/>
  <c r="N220" i="1"/>
  <c r="R220" i="1" s="1"/>
  <c r="N221" i="1"/>
  <c r="R221" i="1" s="1"/>
  <c r="N222" i="1"/>
  <c r="R222" i="1" s="1"/>
  <c r="N223" i="1"/>
  <c r="R223" i="1" s="1"/>
  <c r="N224" i="1"/>
  <c r="R224" i="1" s="1"/>
  <c r="N225" i="1"/>
  <c r="R225" i="1" s="1"/>
  <c r="N226" i="1"/>
  <c r="R226" i="1" s="1"/>
  <c r="N227" i="1"/>
  <c r="R227" i="1" s="1"/>
  <c r="N228" i="1"/>
  <c r="R228" i="1" s="1"/>
  <c r="N229" i="1"/>
  <c r="R229" i="1" s="1"/>
  <c r="N230" i="1"/>
  <c r="R230" i="1" s="1"/>
  <c r="N231" i="1"/>
  <c r="R231" i="1" s="1"/>
  <c r="N232" i="1"/>
  <c r="R232" i="1" s="1"/>
  <c r="N233" i="1"/>
  <c r="R233" i="1" s="1"/>
  <c r="N236" i="1"/>
  <c r="R236" i="1" s="1"/>
  <c r="N237" i="1"/>
  <c r="R237" i="1" s="1"/>
  <c r="N238" i="1"/>
  <c r="R238" i="1" s="1"/>
  <c r="N239" i="1"/>
  <c r="R239" i="1" s="1"/>
  <c r="N240" i="1"/>
  <c r="R240" i="1" s="1"/>
  <c r="N241" i="1"/>
  <c r="R241" i="1" s="1"/>
  <c r="N242" i="1"/>
  <c r="R242" i="1" s="1"/>
  <c r="N243" i="1"/>
  <c r="R243" i="1" s="1"/>
  <c r="N244" i="1"/>
  <c r="R244" i="1" s="1"/>
  <c r="N245" i="1"/>
  <c r="R245" i="1" s="1"/>
  <c r="N246" i="1"/>
  <c r="R246" i="1" s="1"/>
  <c r="N247" i="1"/>
  <c r="R247" i="1" s="1"/>
  <c r="N248" i="1"/>
  <c r="R248" i="1" s="1"/>
  <c r="N249" i="1"/>
  <c r="R249" i="1" s="1"/>
  <c r="N250" i="1"/>
  <c r="R250" i="1" s="1"/>
  <c r="N251" i="1"/>
  <c r="R251" i="1" s="1"/>
  <c r="N252" i="1"/>
  <c r="R252" i="1" s="1"/>
  <c r="N253" i="1"/>
  <c r="R253" i="1" s="1"/>
  <c r="N254" i="1"/>
  <c r="R254" i="1" s="1"/>
  <c r="N255" i="1"/>
  <c r="R255" i="1" s="1"/>
  <c r="N256" i="1"/>
  <c r="R256" i="1" s="1"/>
  <c r="N257" i="1"/>
  <c r="R257" i="1" s="1"/>
  <c r="N258" i="1"/>
  <c r="R258" i="1" s="1"/>
  <c r="N259" i="1"/>
  <c r="R259" i="1" s="1"/>
  <c r="N260" i="1"/>
  <c r="R260" i="1" s="1"/>
  <c r="N261" i="1"/>
  <c r="R261" i="1" s="1"/>
  <c r="N262" i="1"/>
  <c r="R262" i="1" s="1"/>
  <c r="N263" i="1"/>
  <c r="R263" i="1" s="1"/>
  <c r="N264" i="1"/>
  <c r="R264" i="1" s="1"/>
  <c r="N265" i="1"/>
  <c r="R265" i="1" s="1"/>
  <c r="N266" i="1"/>
  <c r="R266" i="1" s="1"/>
  <c r="N267" i="1"/>
  <c r="R267" i="1" s="1"/>
  <c r="N268" i="1"/>
  <c r="R268" i="1" s="1"/>
  <c r="N269" i="1"/>
  <c r="R269" i="1" s="1"/>
  <c r="N270" i="1"/>
  <c r="R270" i="1" s="1"/>
  <c r="N271" i="1"/>
  <c r="R271" i="1" s="1"/>
  <c r="N272" i="1"/>
  <c r="R272" i="1" s="1"/>
  <c r="N273" i="1"/>
  <c r="R273" i="1" s="1"/>
  <c r="N274" i="1"/>
  <c r="R274" i="1" s="1"/>
  <c r="N275" i="1"/>
  <c r="R275" i="1" s="1"/>
  <c r="N276" i="1"/>
  <c r="R276" i="1" s="1"/>
  <c r="N277" i="1"/>
  <c r="R277" i="1" s="1"/>
  <c r="N278" i="1"/>
  <c r="R278" i="1" s="1"/>
  <c r="N279" i="1"/>
  <c r="R279" i="1" s="1"/>
  <c r="N280" i="1"/>
  <c r="R280" i="1" s="1"/>
  <c r="N294" i="1"/>
  <c r="R294" i="1" s="1"/>
  <c r="N295" i="1"/>
  <c r="R295" i="1" s="1"/>
  <c r="N296" i="1"/>
  <c r="R296" i="1" s="1"/>
  <c r="N333" i="1"/>
  <c r="N334" i="1"/>
  <c r="N335" i="1"/>
  <c r="N336" i="1"/>
  <c r="N337" i="1"/>
  <c r="N338" i="1"/>
  <c r="N343" i="1"/>
  <c r="R343" i="1" s="1"/>
  <c r="N344" i="1"/>
  <c r="R344" i="1" s="1"/>
  <c r="N345" i="1"/>
  <c r="R345" i="1" s="1"/>
  <c r="N346" i="1"/>
  <c r="R346" i="1" s="1"/>
  <c r="N347" i="1"/>
  <c r="R347" i="1" s="1"/>
  <c r="N348" i="1"/>
  <c r="R348" i="1" s="1"/>
  <c r="N349" i="1"/>
  <c r="R349" i="1" s="1"/>
  <c r="N350" i="1"/>
  <c r="R350" i="1" s="1"/>
  <c r="N351" i="1"/>
  <c r="R351" i="1" s="1"/>
  <c r="N352" i="1"/>
  <c r="R352" i="1" s="1"/>
  <c r="N353" i="1"/>
  <c r="R353" i="1" s="1"/>
  <c r="N355" i="1"/>
  <c r="R355" i="1" s="1"/>
  <c r="N356" i="1"/>
  <c r="R356" i="1" s="1"/>
  <c r="N357" i="1"/>
  <c r="R357" i="1" s="1"/>
  <c r="N358" i="1"/>
  <c r="R358" i="1" s="1"/>
  <c r="N360" i="1"/>
  <c r="R360" i="1" s="1"/>
  <c r="N361" i="1"/>
  <c r="R361" i="1" s="1"/>
  <c r="N362" i="1"/>
  <c r="R362" i="1" s="1"/>
  <c r="N363" i="1"/>
  <c r="R363" i="1" s="1"/>
  <c r="N365" i="1"/>
  <c r="R365" i="1" s="1"/>
  <c r="N366" i="1"/>
  <c r="R366" i="1" s="1"/>
  <c r="N367" i="1"/>
  <c r="R367" i="1" s="1"/>
  <c r="N368" i="1"/>
  <c r="R368" i="1" s="1"/>
  <c r="N369" i="1"/>
  <c r="R369" i="1" s="1"/>
  <c r="N370" i="1"/>
  <c r="R370" i="1" s="1"/>
  <c r="N371" i="1"/>
  <c r="R371" i="1" s="1"/>
  <c r="N372" i="1"/>
  <c r="R372" i="1" s="1"/>
  <c r="N373" i="1"/>
  <c r="R373" i="1" s="1"/>
  <c r="O2" i="1"/>
  <c r="S2" i="1" s="1"/>
  <c r="N2" i="1"/>
  <c r="R2" i="1" s="1"/>
  <c r="Y294" i="1"/>
  <c r="Y295" i="1"/>
  <c r="V295" i="1"/>
  <c r="V296" i="1"/>
  <c r="U295" i="1"/>
  <c r="U296" i="1"/>
  <c r="AA296" i="1"/>
  <c r="AA295" i="1"/>
  <c r="V294" i="1"/>
  <c r="U294" i="1"/>
  <c r="AA294" i="1"/>
  <c r="D200" i="6"/>
  <c r="AE338" i="1" s="1"/>
  <c r="AA338" i="1"/>
  <c r="V338" i="1"/>
  <c r="U338" i="1"/>
  <c r="AA337" i="1"/>
  <c r="V337" i="1"/>
  <c r="U337" i="1"/>
  <c r="AA336" i="1"/>
  <c r="V336" i="1"/>
  <c r="U336" i="1"/>
  <c r="AA335" i="1"/>
  <c r="V335" i="1"/>
  <c r="U335" i="1"/>
  <c r="AA334" i="1"/>
  <c r="V334" i="1"/>
  <c r="U334" i="1"/>
  <c r="AA333" i="1"/>
  <c r="U333" i="1"/>
  <c r="AA343" i="1"/>
  <c r="V277" i="1"/>
  <c r="U277" i="1"/>
  <c r="AA277" i="1"/>
  <c r="D56" i="6"/>
  <c r="AE277" i="1" s="1"/>
  <c r="D27" i="6"/>
  <c r="AE209" i="1" s="1"/>
  <c r="V276" i="1"/>
  <c r="U276" i="1"/>
  <c r="AA276" i="1"/>
  <c r="D169" i="6"/>
  <c r="AE195" i="1" s="1"/>
  <c r="D64" i="6"/>
  <c r="AE229" i="1" s="1"/>
  <c r="AA275" i="1"/>
  <c r="U275" i="1"/>
  <c r="U274" i="1"/>
  <c r="AA274" i="1"/>
  <c r="AA273" i="1"/>
  <c r="U273" i="1"/>
  <c r="V272" i="1"/>
  <c r="U272" i="1"/>
  <c r="AA272" i="1"/>
  <c r="D19" i="6"/>
  <c r="AE43" i="1" s="1"/>
  <c r="AA270" i="1"/>
  <c r="AA271" i="1"/>
  <c r="V270" i="1"/>
  <c r="V271" i="1"/>
  <c r="U271" i="1"/>
  <c r="U270" i="1"/>
  <c r="AA269" i="1"/>
  <c r="U269" i="1"/>
  <c r="U268" i="1"/>
  <c r="AA268" i="1"/>
  <c r="U267" i="1"/>
  <c r="U266" i="1"/>
  <c r="AA267" i="1"/>
  <c r="AA266" i="1"/>
  <c r="AA132" i="1"/>
  <c r="U132" i="1"/>
  <c r="V265" i="1"/>
  <c r="U265" i="1"/>
  <c r="AA265" i="1"/>
  <c r="V264" i="1"/>
  <c r="U264" i="1"/>
  <c r="AA264" i="1"/>
  <c r="AA263" i="1"/>
  <c r="U263" i="1"/>
  <c r="AA371" i="1"/>
  <c r="AA370" i="1"/>
  <c r="D83" i="6"/>
  <c r="AE42" i="1" s="1"/>
  <c r="Y261" i="1"/>
  <c r="U261" i="1"/>
  <c r="U262" i="1"/>
  <c r="AA262" i="1"/>
  <c r="AA261" i="1"/>
  <c r="Y259" i="1"/>
  <c r="U260" i="1"/>
  <c r="U259" i="1"/>
  <c r="AA260" i="1"/>
  <c r="AA259" i="1"/>
  <c r="Y257" i="1"/>
  <c r="V258" i="1"/>
  <c r="U257" i="1"/>
  <c r="U258" i="1"/>
  <c r="AA258" i="1"/>
  <c r="V257" i="1"/>
  <c r="AA257" i="1"/>
  <c r="Y255" i="1"/>
  <c r="V256" i="1"/>
  <c r="U256" i="1"/>
  <c r="V255" i="1"/>
  <c r="U255" i="1"/>
  <c r="AA256" i="1"/>
  <c r="AA255" i="1"/>
  <c r="AA254" i="1"/>
  <c r="V254" i="1"/>
  <c r="U254" i="1"/>
  <c r="D31" i="6"/>
  <c r="AE253" i="1" s="1"/>
  <c r="Y252" i="1"/>
  <c r="V252" i="1"/>
  <c r="V253" i="1"/>
  <c r="U252" i="1"/>
  <c r="U253" i="1"/>
  <c r="AA253" i="1"/>
  <c r="AA252" i="1"/>
  <c r="Y250" i="1"/>
  <c r="V250" i="1"/>
  <c r="V251" i="1"/>
  <c r="U251" i="1"/>
  <c r="AA251" i="1"/>
  <c r="U250" i="1"/>
  <c r="AA250" i="1"/>
  <c r="C17" i="7"/>
  <c r="C18" i="7"/>
  <c r="C19" i="7"/>
  <c r="C20" i="7"/>
  <c r="C21" i="7"/>
  <c r="C22" i="7"/>
  <c r="C23" i="7"/>
  <c r="C24" i="7"/>
  <c r="C25" i="7"/>
  <c r="C26" i="7"/>
  <c r="C27" i="7"/>
  <c r="C28" i="7"/>
  <c r="C29" i="7"/>
  <c r="C30" i="7"/>
  <c r="C31" i="7"/>
  <c r="C32" i="7"/>
  <c r="C33" i="7"/>
  <c r="B18" i="7"/>
  <c r="B19" i="7"/>
  <c r="B20" i="7"/>
  <c r="B21" i="7"/>
  <c r="B22" i="7"/>
  <c r="B23" i="7"/>
  <c r="B24" i="7"/>
  <c r="B25" i="7"/>
  <c r="B26" i="7"/>
  <c r="B27" i="7"/>
  <c r="B28" i="7"/>
  <c r="B29" i="7"/>
  <c r="B30" i="7"/>
  <c r="B31" i="7"/>
  <c r="B32" i="7"/>
  <c r="B33" i="7"/>
  <c r="B34" i="7"/>
  <c r="B17" i="7"/>
  <c r="T309" i="1" l="1"/>
  <c r="AI309" i="1" s="1" a="1"/>
  <c r="AI309" i="1" s="1"/>
  <c r="T312" i="1"/>
  <c r="AI312" i="1" s="1" a="1"/>
  <c r="AI312" i="1" s="1"/>
  <c r="T305" i="1"/>
  <c r="AI305" i="1" s="1" a="1"/>
  <c r="AI305" i="1" s="1"/>
  <c r="T301" i="1"/>
  <c r="AI301" i="1" s="1" a="1"/>
  <c r="AI301" i="1" s="1"/>
  <c r="T297" i="1"/>
  <c r="AI297" i="1" s="1" a="1"/>
  <c r="AI297" i="1" s="1"/>
  <c r="T285" i="1"/>
  <c r="AI285" i="1" s="1" a="1"/>
  <c r="AI285" i="1" s="1"/>
  <c r="T281" i="1"/>
  <c r="AI281" i="1" s="1" a="1"/>
  <c r="AI281" i="1" s="1"/>
  <c r="T193" i="1"/>
  <c r="AI193" i="1" s="1" a="1"/>
  <c r="AI193" i="1" s="1"/>
  <c r="T183" i="1"/>
  <c r="AI183" i="1" s="1" a="1"/>
  <c r="AI183" i="1" s="1"/>
  <c r="T148" i="1"/>
  <c r="AI148" i="1" s="1" a="1"/>
  <c r="AI148" i="1" s="1"/>
  <c r="T138" i="1"/>
  <c r="AI138" i="1" s="1" a="1"/>
  <c r="AI138" i="1" s="1"/>
  <c r="T121" i="1"/>
  <c r="AI121" i="1" s="1" a="1"/>
  <c r="AI121" i="1" s="1"/>
  <c r="T29" i="1"/>
  <c r="AI29" i="1" s="1" a="1"/>
  <c r="AI29" i="1" s="1"/>
  <c r="T25" i="1"/>
  <c r="AI25" i="1" s="1" a="1"/>
  <c r="AI25" i="1" s="1"/>
  <c r="T17" i="1"/>
  <c r="AI17" i="1" s="1" a="1"/>
  <c r="AI17" i="1" s="1"/>
  <c r="T13" i="1"/>
  <c r="AI13" i="1" s="1" a="1"/>
  <c r="AI13" i="1" s="1"/>
  <c r="T9" i="1"/>
  <c r="AI9" i="1" s="1" a="1"/>
  <c r="AI9" i="1" s="1"/>
  <c r="T45" i="1"/>
  <c r="AI45" i="1" s="1" a="1"/>
  <c r="AI45" i="1" s="1"/>
  <c r="AE324" i="1"/>
  <c r="T37" i="1"/>
  <c r="AI37" i="1" s="1" a="1"/>
  <c r="AI37" i="1" s="1"/>
  <c r="AE37" i="1"/>
  <c r="T36" i="1"/>
  <c r="AI36" i="1" s="1" a="1"/>
  <c r="AI36" i="1" s="1"/>
  <c r="T325" i="1"/>
  <c r="AE150" i="1"/>
  <c r="AE132" i="1"/>
  <c r="AE130" i="1"/>
  <c r="AE83" i="1"/>
  <c r="AE49" i="1"/>
  <c r="AE306" i="1"/>
  <c r="AE225" i="1"/>
  <c r="AE188" i="1"/>
  <c r="AE287" i="1"/>
  <c r="AE270" i="1"/>
  <c r="AE149" i="1"/>
  <c r="AE147" i="1"/>
  <c r="AE322" i="1"/>
  <c r="AE172" i="1"/>
  <c r="AE222" i="1"/>
  <c r="AE114" i="1"/>
  <c r="AE157" i="1"/>
  <c r="AE254" i="1"/>
  <c r="AE115" i="1"/>
  <c r="AE220" i="1"/>
  <c r="AE206" i="1"/>
  <c r="AE205" i="1"/>
  <c r="AE171" i="1"/>
  <c r="T154" i="1"/>
  <c r="AI154" i="1" s="1" a="1"/>
  <c r="AI154" i="1" s="1"/>
  <c r="T324" i="1"/>
  <c r="AI324" i="1" s="1" a="1"/>
  <c r="AI324" i="1" s="1"/>
  <c r="T323" i="1"/>
  <c r="AI323" i="1" s="1" a="1"/>
  <c r="AI323" i="1" s="1"/>
  <c r="T322" i="1"/>
  <c r="AI322" i="1" s="1" a="1"/>
  <c r="AI322" i="1" s="1"/>
  <c r="T155" i="1"/>
  <c r="AI155" i="1" s="1" a="1"/>
  <c r="AI155" i="1" s="1"/>
  <c r="T171" i="1"/>
  <c r="AI171" i="1" s="1" a="1"/>
  <c r="AI171" i="1" s="1"/>
  <c r="T156" i="1"/>
  <c r="AI156" i="1" s="1" a="1"/>
  <c r="AI156" i="1" s="1"/>
  <c r="T153" i="1"/>
  <c r="AI153" i="1" s="1" a="1"/>
  <c r="AI153" i="1" s="1"/>
  <c r="AE32" i="1"/>
  <c r="AE280" i="1"/>
  <c r="AE216" i="1"/>
  <c r="AE200" i="1"/>
  <c r="AE182" i="1"/>
  <c r="AE165" i="1"/>
  <c r="AE143" i="1"/>
  <c r="AE126" i="1"/>
  <c r="AE61" i="1"/>
  <c r="AE65" i="1"/>
  <c r="AE263" i="1"/>
  <c r="AE231" i="1"/>
  <c r="AE181" i="1"/>
  <c r="AE142" i="1"/>
  <c r="AE125" i="1"/>
  <c r="AE108" i="1"/>
  <c r="AE60" i="1"/>
  <c r="AE23" i="1"/>
  <c r="AE3" i="1"/>
  <c r="AE131" i="1"/>
  <c r="AE278" i="1"/>
  <c r="AE262" i="1"/>
  <c r="AE246" i="1"/>
  <c r="AE214" i="1"/>
  <c r="AE180" i="1"/>
  <c r="AE141" i="1"/>
  <c r="AE107" i="1"/>
  <c r="AE59" i="1"/>
  <c r="AE154" i="1"/>
  <c r="AE236" i="1"/>
  <c r="AE295" i="1"/>
  <c r="AE197" i="1"/>
  <c r="AE179" i="1"/>
  <c r="AE140" i="1"/>
  <c r="AE123" i="1"/>
  <c r="AE260" i="1"/>
  <c r="AE196" i="1"/>
  <c r="AE161" i="1"/>
  <c r="AE122" i="1"/>
  <c r="AE89" i="1"/>
  <c r="AE259" i="1"/>
  <c r="AE177" i="1"/>
  <c r="AE137" i="1"/>
  <c r="AE120" i="1"/>
  <c r="AE88" i="1"/>
  <c r="AE56" i="1"/>
  <c r="AE156" i="1"/>
  <c r="AE258" i="1"/>
  <c r="AE159" i="1"/>
  <c r="AE87" i="1"/>
  <c r="AE38" i="1"/>
  <c r="AE311" i="1"/>
  <c r="AE175" i="1"/>
  <c r="AE135" i="1"/>
  <c r="AE102" i="1"/>
  <c r="AE86" i="1"/>
  <c r="AE70" i="1"/>
  <c r="AE224" i="1"/>
  <c r="AE152" i="1"/>
  <c r="AE68" i="1"/>
  <c r="AE14" i="1"/>
  <c r="AE153" i="1"/>
  <c r="AE80" i="1"/>
  <c r="AE28" i="1"/>
  <c r="AE286" i="1"/>
  <c r="AE250" i="1"/>
  <c r="AE63" i="1"/>
  <c r="AE217" i="1"/>
  <c r="AE201" i="1"/>
  <c r="T157" i="1"/>
  <c r="AI157" i="1" s="1" a="1"/>
  <c r="AI157" i="1" s="1"/>
  <c r="S330" i="1"/>
  <c r="T165" i="1"/>
  <c r="AI165" i="1" s="1" a="1"/>
  <c r="AI165" i="1" s="1"/>
  <c r="R332" i="1"/>
  <c r="T161" i="1"/>
  <c r="AI161" i="1" s="1" a="1"/>
  <c r="AI161" i="1" s="1"/>
  <c r="R331" i="1"/>
  <c r="S332" i="1"/>
  <c r="T159" i="1"/>
  <c r="AI159" i="1" s="1" a="1"/>
  <c r="AI159" i="1" s="1"/>
  <c r="R330" i="1"/>
  <c r="S331" i="1"/>
  <c r="T364" i="1"/>
  <c r="T354" i="1"/>
  <c r="T320" i="1"/>
  <c r="AI320" i="1" s="1" a="1"/>
  <c r="AI320" i="1" s="1"/>
  <c r="T359" i="1"/>
  <c r="R334" i="1"/>
  <c r="S334" i="1"/>
  <c r="T319" i="1"/>
  <c r="AI319" i="1" s="1" a="1"/>
  <c r="AI319" i="1" s="1"/>
  <c r="T321" i="1"/>
  <c r="S333" i="1"/>
  <c r="T318" i="1"/>
  <c r="AI318" i="1" s="1" a="1"/>
  <c r="AI318" i="1" s="1"/>
  <c r="R335" i="1"/>
  <c r="R337" i="1"/>
  <c r="T316" i="1"/>
  <c r="AI316" i="1" s="1" a="1"/>
  <c r="AI316" i="1" s="1"/>
  <c r="T317" i="1"/>
  <c r="AI317" i="1" s="1" a="1"/>
  <c r="AI317" i="1" s="1"/>
  <c r="R336" i="1"/>
  <c r="T315" i="1"/>
  <c r="AI315" i="1" s="1" a="1"/>
  <c r="AI315" i="1" s="1"/>
  <c r="S338" i="1"/>
  <c r="T339" i="1"/>
  <c r="T313" i="1"/>
  <c r="AI313" i="1" s="1" a="1"/>
  <c r="AI313" i="1" s="1"/>
  <c r="S336" i="1"/>
  <c r="T314" i="1"/>
  <c r="AI314" i="1" s="1" a="1"/>
  <c r="AI314" i="1" s="1"/>
  <c r="R338" i="1"/>
  <c r="T341" i="1"/>
  <c r="S337" i="1"/>
  <c r="R333" i="1"/>
  <c r="T333" i="1" s="1"/>
  <c r="T340" i="1"/>
  <c r="S335" i="1"/>
  <c r="T342" i="1"/>
  <c r="T311" i="1"/>
  <c r="AI311" i="1" s="1" a="1"/>
  <c r="AI311" i="1" s="1"/>
  <c r="T310" i="1"/>
  <c r="AI310" i="1" s="1" a="1"/>
  <c r="AI310" i="1" s="1"/>
  <c r="T5" i="1"/>
  <c r="AI5" i="1" s="1" a="1"/>
  <c r="AI5" i="1" s="1"/>
  <c r="T329" i="1"/>
  <c r="AI329" i="1" s="1" a="1"/>
  <c r="AI329" i="1" s="1"/>
  <c r="T326" i="1"/>
  <c r="AI326" i="1" s="1" a="1"/>
  <c r="AI326" i="1" s="1"/>
  <c r="T327" i="1"/>
  <c r="AI327" i="1" s="1" a="1"/>
  <c r="AI327" i="1" s="1"/>
  <c r="T328" i="1"/>
  <c r="AI328" i="1" s="1" a="1"/>
  <c r="AI328" i="1" s="1"/>
  <c r="F139" i="6"/>
  <c r="F176" i="6"/>
  <c r="F181" i="6"/>
  <c r="F186" i="6"/>
  <c r="F62" i="6"/>
  <c r="F28" i="6"/>
  <c r="F76" i="6"/>
  <c r="F64" i="6"/>
  <c r="F131" i="6"/>
  <c r="F129" i="6"/>
  <c r="F103" i="6"/>
  <c r="F135" i="6"/>
  <c r="F215" i="6"/>
  <c r="F109" i="6"/>
  <c r="F24" i="6"/>
  <c r="F79" i="6"/>
  <c r="F207" i="6"/>
  <c r="F156" i="6"/>
  <c r="F183" i="6"/>
  <c r="F162" i="6"/>
  <c r="F115" i="6"/>
  <c r="F146" i="6"/>
  <c r="F9" i="6"/>
  <c r="F196" i="6"/>
  <c r="F69" i="6"/>
  <c r="F102" i="6"/>
  <c r="F132" i="6"/>
  <c r="F58" i="6"/>
  <c r="F216" i="6"/>
  <c r="F94" i="6"/>
  <c r="F14" i="6"/>
  <c r="F138" i="6"/>
  <c r="F218" i="6"/>
  <c r="F31" i="6"/>
  <c r="F180" i="6"/>
  <c r="F170" i="6"/>
  <c r="F213" i="6"/>
  <c r="F96" i="6"/>
  <c r="F194" i="6"/>
  <c r="F164" i="6"/>
  <c r="F92" i="6"/>
  <c r="F182" i="6"/>
  <c r="F41" i="6"/>
  <c r="F184" i="6"/>
  <c r="F140" i="6"/>
  <c r="F217" i="6"/>
  <c r="F168" i="6"/>
  <c r="F190" i="6"/>
  <c r="F214" i="6"/>
  <c r="F174" i="6"/>
  <c r="F106" i="6"/>
  <c r="F179" i="6"/>
  <c r="F201" i="6"/>
  <c r="F202" i="6"/>
  <c r="F110" i="6"/>
  <c r="F89" i="6"/>
  <c r="F10" i="6"/>
  <c r="F82" i="6"/>
  <c r="F13" i="6"/>
  <c r="F189" i="6"/>
  <c r="F169" i="6"/>
  <c r="F85" i="6"/>
  <c r="F147" i="6"/>
  <c r="F173" i="6"/>
  <c r="F61" i="6"/>
  <c r="F199" i="6"/>
  <c r="F152" i="6"/>
  <c r="F154" i="6"/>
  <c r="F68" i="6"/>
  <c r="F81" i="6"/>
  <c r="F27" i="6"/>
  <c r="F209" i="6"/>
  <c r="F86" i="6"/>
  <c r="F172" i="6"/>
  <c r="F73" i="6"/>
  <c r="F5" i="6"/>
  <c r="F158" i="6"/>
  <c r="F71" i="6"/>
  <c r="F150" i="6"/>
  <c r="F148" i="6"/>
  <c r="F198" i="6"/>
  <c r="F200" i="6"/>
  <c r="F137" i="6"/>
  <c r="F212" i="6"/>
  <c r="F171" i="6"/>
  <c r="F72" i="6"/>
  <c r="F59" i="6"/>
  <c r="F75" i="6"/>
  <c r="F211" i="6"/>
  <c r="F16" i="6"/>
  <c r="F15" i="6"/>
  <c r="F142" i="6"/>
  <c r="F93" i="6"/>
  <c r="F95" i="6"/>
  <c r="F90" i="6"/>
  <c r="F70" i="6"/>
  <c r="F145" i="6"/>
  <c r="F63" i="6"/>
  <c r="F163" i="6"/>
  <c r="F187" i="6"/>
  <c r="F105" i="6"/>
  <c r="F4" i="6"/>
  <c r="F178" i="6"/>
  <c r="F67" i="6"/>
  <c r="F210" i="6"/>
  <c r="F77" i="6"/>
  <c r="F60" i="6"/>
  <c r="F155" i="6"/>
  <c r="F195" i="6"/>
  <c r="F80" i="6"/>
  <c r="F116" i="6"/>
  <c r="F35" i="6"/>
  <c r="F188" i="6"/>
  <c r="F83" i="6"/>
  <c r="F185" i="6"/>
  <c r="F134" i="6"/>
  <c r="F11" i="6"/>
  <c r="F107" i="6"/>
  <c r="F84" i="6"/>
  <c r="F99" i="6"/>
  <c r="F136" i="6"/>
  <c r="F108" i="6"/>
  <c r="F193" i="6"/>
  <c r="F57" i="6"/>
  <c r="F66" i="6"/>
  <c r="F133" i="6"/>
  <c r="F167" i="6"/>
  <c r="F113" i="6"/>
  <c r="F141" i="6"/>
  <c r="F157" i="6"/>
  <c r="F153" i="6"/>
  <c r="F39" i="6"/>
  <c r="F112" i="6"/>
  <c r="F144" i="6"/>
  <c r="F65" i="6"/>
  <c r="F114" i="6"/>
  <c r="F7" i="6"/>
  <c r="F177" i="6"/>
  <c r="F74" i="6"/>
  <c r="F17" i="6"/>
  <c r="F128" i="6"/>
  <c r="F205" i="6"/>
  <c r="F118" i="6"/>
  <c r="F26" i="6"/>
  <c r="F191" i="6"/>
  <c r="F130" i="6"/>
  <c r="T288" i="1"/>
  <c r="AI288" i="1" s="1" a="1"/>
  <c r="AI288" i="1" s="1"/>
  <c r="T291" i="1"/>
  <c r="AI291" i="1" s="1" a="1"/>
  <c r="AI291" i="1" s="1"/>
  <c r="T292" i="1"/>
  <c r="AI292" i="1" s="1" a="1"/>
  <c r="AI292" i="1" s="1"/>
  <c r="T289" i="1"/>
  <c r="AI289" i="1" s="1" a="1"/>
  <c r="AI289" i="1" s="1"/>
  <c r="T286" i="1"/>
  <c r="AI286" i="1" s="1" a="1"/>
  <c r="AI286" i="1" s="1"/>
  <c r="T290" i="1"/>
  <c r="T287" i="1"/>
  <c r="AI287" i="1" s="1" a="1"/>
  <c r="AI287" i="1" s="1"/>
  <c r="T293" i="1"/>
  <c r="AI293" i="1" s="1" a="1"/>
  <c r="AI293" i="1" s="1"/>
  <c r="T283" i="1"/>
  <c r="AI283" i="1" s="1" a="1"/>
  <c r="AI283" i="1" s="1"/>
  <c r="T284" i="1"/>
  <c r="AI284" i="1" s="1" a="1"/>
  <c r="AI284" i="1" s="1"/>
  <c r="T282" i="1"/>
  <c r="AI282" i="1" s="1" a="1"/>
  <c r="AI282" i="1" s="1"/>
  <c r="T308" i="1"/>
  <c r="T307" i="1"/>
  <c r="T299" i="1"/>
  <c r="T306" i="1"/>
  <c r="AI306" i="1" s="1" a="1"/>
  <c r="AI306" i="1" s="1"/>
  <c r="T300" i="1"/>
  <c r="T302" i="1"/>
  <c r="AI302" i="1" s="1" a="1"/>
  <c r="AI302" i="1" s="1"/>
  <c r="T298" i="1"/>
  <c r="AI298" i="1" s="1" a="1"/>
  <c r="AI298" i="1" s="1"/>
  <c r="T303" i="1"/>
  <c r="T304" i="1"/>
  <c r="T296" i="1"/>
  <c r="T295" i="1"/>
  <c r="T294" i="1"/>
  <c r="T343" i="1"/>
  <c r="T256" i="1"/>
  <c r="T277" i="1"/>
  <c r="AI277" i="1" s="1" a="1"/>
  <c r="AI277" i="1" s="1"/>
  <c r="T258" i="1"/>
  <c r="T273" i="1"/>
  <c r="AI273" i="1" s="1" a="1"/>
  <c r="AI273" i="1" s="1"/>
  <c r="T132" i="1"/>
  <c r="AI132" i="1" s="1" a="1"/>
  <c r="AI132" i="1" s="1"/>
  <c r="T272" i="1"/>
  <c r="AI272" i="1" s="1" a="1"/>
  <c r="AI272" i="1" s="1"/>
  <c r="T250" i="1"/>
  <c r="AI250" i="1" s="1" a="1"/>
  <c r="AI250" i="1" s="1"/>
  <c r="T271" i="1"/>
  <c r="T257" i="1"/>
  <c r="AI257" i="1" s="1" a="1"/>
  <c r="AI257" i="1" s="1"/>
  <c r="T252" i="1"/>
  <c r="AI252" i="1" s="1" a="1"/>
  <c r="AI252" i="1" s="1"/>
  <c r="T255" i="1"/>
  <c r="AI255" i="1" s="1" a="1"/>
  <c r="AI255" i="1" s="1"/>
  <c r="T261" i="1"/>
  <c r="AI261" i="1" s="1" a="1"/>
  <c r="AI261" i="1" s="1"/>
  <c r="T262" i="1"/>
  <c r="T371" i="1"/>
  <c r="T276" i="1"/>
  <c r="AI276" i="1" s="1" a="1"/>
  <c r="AI276" i="1" s="1"/>
  <c r="T275" i="1"/>
  <c r="T253" i="1"/>
  <c r="T265" i="1"/>
  <c r="T274" i="1"/>
  <c r="AI274" i="1" s="1" a="1"/>
  <c r="AI274" i="1" s="1"/>
  <c r="T260" i="1"/>
  <c r="T269" i="1"/>
  <c r="T370" i="1"/>
  <c r="T264" i="1"/>
  <c r="AI264" i="1" s="1" a="1"/>
  <c r="AI264" i="1" s="1"/>
  <c r="T267" i="1"/>
  <c r="T251" i="1"/>
  <c r="T270" i="1"/>
  <c r="AI270" i="1" s="1" a="1"/>
  <c r="AI270" i="1" s="1"/>
  <c r="T263" i="1"/>
  <c r="AI263" i="1" s="1" a="1"/>
  <c r="AI263" i="1" s="1"/>
  <c r="T254" i="1"/>
  <c r="AI254" i="1" s="1" a="1"/>
  <c r="AI254" i="1" s="1"/>
  <c r="T259" i="1"/>
  <c r="AI259" i="1" s="1" a="1"/>
  <c r="AI259" i="1" s="1"/>
  <c r="T268" i="1"/>
  <c r="AI268" i="1" s="1" a="1"/>
  <c r="AI268" i="1" s="1"/>
  <c r="D23" i="7"/>
  <c r="D22" i="7"/>
  <c r="D24" i="7"/>
  <c r="D21" i="7"/>
  <c r="D19" i="7"/>
  <c r="D27" i="7"/>
  <c r="D26" i="7"/>
  <c r="D28" i="7"/>
  <c r="D25" i="7"/>
  <c r="D18" i="7"/>
  <c r="D30" i="7"/>
  <c r="D29" i="7"/>
  <c r="D33" i="7"/>
  <c r="D17" i="7"/>
  <c r="D34" i="7"/>
  <c r="D31" i="7"/>
  <c r="D32" i="7"/>
  <c r="D20" i="7"/>
  <c r="Z322" i="1" l="1"/>
  <c r="Z323" i="1"/>
  <c r="AI325" i="1" a="1"/>
  <c r="AI325" i="1" s="1"/>
  <c r="T334" i="1"/>
  <c r="T330" i="1"/>
  <c r="T331" i="1"/>
  <c r="T332" i="1"/>
  <c r="Z320" i="1"/>
  <c r="T336" i="1"/>
  <c r="AI321" i="1" a="1"/>
  <c r="AI321" i="1" s="1"/>
  <c r="Z318" i="1"/>
  <c r="Z315" i="1"/>
  <c r="Z316" i="1"/>
  <c r="T335" i="1"/>
  <c r="AI290" i="1" a="1"/>
  <c r="AI290" i="1" s="1"/>
  <c r="T337" i="1"/>
  <c r="T338" i="1"/>
  <c r="Z313" i="1"/>
  <c r="AI300" i="1" a="1"/>
  <c r="AI300" i="1" s="1"/>
  <c r="Z299" i="1"/>
  <c r="AI299" i="1" a="1"/>
  <c r="AI299" i="1" s="1"/>
  <c r="Z298" i="1"/>
  <c r="Z310" i="1"/>
  <c r="Z291" i="1"/>
  <c r="Z288" i="1"/>
  <c r="Z289" i="1"/>
  <c r="Z286" i="1"/>
  <c r="Z282" i="1"/>
  <c r="Z283" i="1"/>
  <c r="Z274" i="1"/>
  <c r="Z295" i="1"/>
  <c r="AI271" i="1" a="1"/>
  <c r="AI271" i="1" s="1"/>
  <c r="Z270" i="1"/>
  <c r="AI267" i="1" a="1"/>
  <c r="AI267" i="1" s="1"/>
  <c r="Z294" i="1"/>
  <c r="AI260" i="1" a="1"/>
  <c r="AI260" i="1" s="1"/>
  <c r="Z259" i="1"/>
  <c r="AI269" i="1" a="1"/>
  <c r="AI269" i="1" s="1"/>
  <c r="Z268" i="1"/>
  <c r="AI258" i="1" a="1"/>
  <c r="AI258" i="1" s="1"/>
  <c r="Z257" i="1"/>
  <c r="AI265" i="1" a="1"/>
  <c r="AI265" i="1" s="1"/>
  <c r="Z264" i="1"/>
  <c r="AI253" i="1" a="1"/>
  <c r="AI253" i="1" s="1"/>
  <c r="Z252" i="1"/>
  <c r="AI304" i="1" a="1"/>
  <c r="AI304" i="1" s="1"/>
  <c r="Z303" i="1"/>
  <c r="AI303" i="1" a="1"/>
  <c r="AI303" i="1" s="1"/>
  <c r="Z302" i="1"/>
  <c r="AI256" i="1" a="1"/>
  <c r="AI256" i="1" s="1"/>
  <c r="Z255" i="1"/>
  <c r="AI262" i="1" a="1"/>
  <c r="AI262" i="1" s="1"/>
  <c r="Z261" i="1"/>
  <c r="Z306" i="1"/>
  <c r="AI251" i="1" a="1"/>
  <c r="AI251" i="1" s="1"/>
  <c r="Z250" i="1"/>
  <c r="AI308" i="1" a="1"/>
  <c r="AI308" i="1" s="1"/>
  <c r="Z307" i="1"/>
  <c r="AI307" i="1" a="1"/>
  <c r="AI307" i="1" s="1"/>
  <c r="AI296" i="1" a="1"/>
  <c r="AI296" i="1" s="1"/>
  <c r="AI295" i="1" a="1"/>
  <c r="AI295" i="1" s="1"/>
  <c r="AI294" i="1" a="1"/>
  <c r="AI294" i="1" s="1"/>
  <c r="T266" i="1"/>
  <c r="AI266" i="1" s="1" a="1"/>
  <c r="AI266" i="1" s="1"/>
  <c r="AI275" i="1" a="1"/>
  <c r="AI275" i="1" s="1"/>
  <c r="D26" i="6"/>
  <c r="AE74" i="1" s="1"/>
  <c r="AA352" i="1"/>
  <c r="AA353" i="1"/>
  <c r="AA355" i="1"/>
  <c r="AA356" i="1"/>
  <c r="AA357" i="1"/>
  <c r="AA358" i="1"/>
  <c r="AA360" i="1"/>
  <c r="AA361" i="1"/>
  <c r="AA362" i="1"/>
  <c r="F235" i="1"/>
  <c r="N235" i="1" s="1"/>
  <c r="R235" i="1" s="1"/>
  <c r="J163" i="1"/>
  <c r="F163" i="1"/>
  <c r="T3" i="1"/>
  <c r="T15" i="1"/>
  <c r="T84" i="1"/>
  <c r="T189" i="1"/>
  <c r="T14" i="1"/>
  <c r="T22" i="1"/>
  <c r="T75" i="1"/>
  <c r="T118" i="1"/>
  <c r="T145" i="1"/>
  <c r="T202" i="1"/>
  <c r="T209" i="1"/>
  <c r="F234" i="1"/>
  <c r="N234" i="1" s="1"/>
  <c r="R234" i="1" s="1"/>
  <c r="F186" i="1"/>
  <c r="N186" i="1" s="1"/>
  <c r="R186" i="1" s="1"/>
  <c r="F185" i="1"/>
  <c r="N185" i="1" s="1"/>
  <c r="R185" i="1" s="1"/>
  <c r="F184" i="1"/>
  <c r="N184" i="1" s="1"/>
  <c r="R184" i="1" s="1"/>
  <c r="AA247" i="1"/>
  <c r="AA248" i="1"/>
  <c r="AA249" i="1"/>
  <c r="Y247" i="1"/>
  <c r="Y248" i="1"/>
  <c r="V249" i="1"/>
  <c r="U247" i="1"/>
  <c r="U248" i="1"/>
  <c r="U249" i="1"/>
  <c r="D68" i="6"/>
  <c r="D75" i="6"/>
  <c r="AE58" i="1" s="1"/>
  <c r="D168" i="6"/>
  <c r="D129" i="6"/>
  <c r="AA351" i="1"/>
  <c r="AA246" i="1"/>
  <c r="V246" i="1"/>
  <c r="U246" i="1"/>
  <c r="D25" i="6"/>
  <c r="AE64" i="1" s="1"/>
  <c r="D217" i="6"/>
  <c r="D60" i="6"/>
  <c r="AE203" i="1" s="1"/>
  <c r="D162" i="6"/>
  <c r="AE373" i="1" s="1"/>
  <c r="D13" i="6"/>
  <c r="D15" i="6"/>
  <c r="D52" i="6"/>
  <c r="D44" i="6"/>
  <c r="AE51" i="1" s="1"/>
  <c r="D112" i="6"/>
  <c r="D139" i="6"/>
  <c r="D135" i="6"/>
  <c r="AE82" i="1" s="1"/>
  <c r="D115" i="6"/>
  <c r="AE194" i="1" s="1"/>
  <c r="D198" i="6"/>
  <c r="D189" i="6"/>
  <c r="AE232" i="1" s="1"/>
  <c r="D209" i="6"/>
  <c r="AE163" i="1" s="1"/>
  <c r="D130" i="6"/>
  <c r="D180" i="6"/>
  <c r="D146" i="6"/>
  <c r="AE162" i="1" s="1"/>
  <c r="D176" i="6"/>
  <c r="AE328" i="1" s="1"/>
  <c r="D66" i="6"/>
  <c r="D51" i="6"/>
  <c r="D131" i="6"/>
  <c r="AE50" i="1" s="1"/>
  <c r="D114" i="6"/>
  <c r="AE97" i="1" s="1"/>
  <c r="D218" i="6"/>
  <c r="AE210" i="1" s="1"/>
  <c r="AA367" i="1"/>
  <c r="AA369" i="1"/>
  <c r="AA366" i="1"/>
  <c r="AA245" i="1"/>
  <c r="V245" i="1"/>
  <c r="U245" i="1"/>
  <c r="AA243" i="1"/>
  <c r="AA244" i="1"/>
  <c r="Y243" i="1"/>
  <c r="U243" i="1"/>
  <c r="U244" i="1"/>
  <c r="AA231" i="1"/>
  <c r="AA232" i="1"/>
  <c r="AA233" i="1"/>
  <c r="AA234" i="1"/>
  <c r="AA235" i="1"/>
  <c r="AA236" i="1"/>
  <c r="AA237" i="1"/>
  <c r="AA238" i="1"/>
  <c r="AA239" i="1"/>
  <c r="AA240" i="1"/>
  <c r="AA241" i="1"/>
  <c r="AA242" i="1"/>
  <c r="Y234" i="1"/>
  <c r="Y237" i="1"/>
  <c r="Y231" i="1"/>
  <c r="Y236" i="1"/>
  <c r="V234" i="1"/>
  <c r="V235" i="1"/>
  <c r="V238" i="1"/>
  <c r="U233" i="1"/>
  <c r="U234" i="1"/>
  <c r="U235" i="1"/>
  <c r="U236" i="1"/>
  <c r="U237" i="1"/>
  <c r="U238" i="1"/>
  <c r="U239" i="1"/>
  <c r="U240" i="1"/>
  <c r="U241" i="1"/>
  <c r="U242" i="1"/>
  <c r="U231" i="1"/>
  <c r="U232" i="1"/>
  <c r="AA229" i="1"/>
  <c r="AA230" i="1"/>
  <c r="Y229" i="1"/>
  <c r="U229" i="1"/>
  <c r="U230" i="1"/>
  <c r="AA368" i="1"/>
  <c r="AA227" i="1"/>
  <c r="AA228" i="1"/>
  <c r="Y227" i="1"/>
  <c r="V227" i="1"/>
  <c r="V228" i="1"/>
  <c r="AA222" i="1"/>
  <c r="AA223" i="1"/>
  <c r="AA224" i="1"/>
  <c r="AA225" i="1"/>
  <c r="AA226" i="1"/>
  <c r="Y223" i="1"/>
  <c r="Y225" i="1"/>
  <c r="V224" i="1"/>
  <c r="V226" i="1"/>
  <c r="U222" i="1"/>
  <c r="U223" i="1"/>
  <c r="U224" i="1"/>
  <c r="U225" i="1"/>
  <c r="U226" i="1"/>
  <c r="AA219" i="1"/>
  <c r="AA220" i="1"/>
  <c r="AA221" i="1"/>
  <c r="Y219" i="1"/>
  <c r="Y220" i="1"/>
  <c r="V219" i="1"/>
  <c r="V220" i="1"/>
  <c r="V221" i="1"/>
  <c r="U219" i="1"/>
  <c r="U220" i="1"/>
  <c r="U221" i="1"/>
  <c r="AA217" i="1"/>
  <c r="AA218" i="1"/>
  <c r="Y217" i="1"/>
  <c r="U217" i="1"/>
  <c r="U218" i="1"/>
  <c r="U14" i="1"/>
  <c r="V14" i="1"/>
  <c r="Y14" i="1"/>
  <c r="AA14" i="1"/>
  <c r="AA214" i="1"/>
  <c r="AA215" i="1"/>
  <c r="AA216" i="1"/>
  <c r="Y214" i="1"/>
  <c r="Y215" i="1"/>
  <c r="U214" i="1"/>
  <c r="U215" i="1"/>
  <c r="U216" i="1"/>
  <c r="U203" i="1"/>
  <c r="U184" i="1"/>
  <c r="U145" i="1"/>
  <c r="U146" i="1"/>
  <c r="U30" i="1"/>
  <c r="U31" i="1"/>
  <c r="AA373" i="1"/>
  <c r="AA372" i="1"/>
  <c r="AA365" i="1"/>
  <c r="AA363" i="1"/>
  <c r="AA349" i="1"/>
  <c r="AA350" i="1"/>
  <c r="AA348" i="1"/>
  <c r="AA346" i="1"/>
  <c r="AA345" i="1"/>
  <c r="AA344" i="1"/>
  <c r="AA96" i="1"/>
  <c r="AA97" i="1"/>
  <c r="Y96" i="1"/>
  <c r="U96" i="1"/>
  <c r="U97" i="1"/>
  <c r="AA212" i="1"/>
  <c r="AA213" i="1"/>
  <c r="Y212" i="1"/>
  <c r="U212" i="1"/>
  <c r="V212" i="1"/>
  <c r="U213" i="1"/>
  <c r="V213" i="1"/>
  <c r="AA209" i="1"/>
  <c r="AA210" i="1"/>
  <c r="AA211" i="1"/>
  <c r="Y209" i="1"/>
  <c r="Y210" i="1"/>
  <c r="U209" i="1"/>
  <c r="U210" i="1"/>
  <c r="U211" i="1"/>
  <c r="AA207" i="1"/>
  <c r="AA208" i="1"/>
  <c r="Y207" i="1"/>
  <c r="U207" i="1"/>
  <c r="V207" i="1"/>
  <c r="U208" i="1"/>
  <c r="V208" i="1"/>
  <c r="AA204" i="1"/>
  <c r="AA205" i="1"/>
  <c r="AA206" i="1"/>
  <c r="Y204" i="1"/>
  <c r="Y205" i="1"/>
  <c r="U204" i="1"/>
  <c r="V204" i="1"/>
  <c r="U205" i="1"/>
  <c r="V205" i="1"/>
  <c r="U206" i="1"/>
  <c r="V206" i="1"/>
  <c r="AA203" i="1"/>
  <c r="AA200" i="1"/>
  <c r="AA201" i="1"/>
  <c r="AA202" i="1"/>
  <c r="Y200" i="1"/>
  <c r="Y201" i="1"/>
  <c r="V200" i="1"/>
  <c r="V201" i="1"/>
  <c r="V202" i="1"/>
  <c r="U200" i="1"/>
  <c r="U201" i="1"/>
  <c r="U202" i="1"/>
  <c r="AA197" i="1"/>
  <c r="AA198" i="1"/>
  <c r="AA199" i="1"/>
  <c r="V197" i="1"/>
  <c r="V198" i="1"/>
  <c r="V199" i="1"/>
  <c r="U197" i="1"/>
  <c r="U198" i="1"/>
  <c r="U199" i="1"/>
  <c r="AA196" i="1"/>
  <c r="V196" i="1"/>
  <c r="U196" i="1"/>
  <c r="AA194" i="1"/>
  <c r="AA195" i="1"/>
  <c r="Y194" i="1"/>
  <c r="U194" i="1"/>
  <c r="U195" i="1"/>
  <c r="AA190" i="1"/>
  <c r="AA191" i="1"/>
  <c r="AA192" i="1"/>
  <c r="Y190" i="1"/>
  <c r="Y191" i="1"/>
  <c r="U190" i="1"/>
  <c r="U191" i="1"/>
  <c r="U192" i="1"/>
  <c r="AA189" i="1"/>
  <c r="AA187" i="1"/>
  <c r="AA188" i="1"/>
  <c r="Y187" i="1"/>
  <c r="Y188" i="1"/>
  <c r="U187" i="1"/>
  <c r="V187" i="1"/>
  <c r="U188" i="1"/>
  <c r="V188" i="1"/>
  <c r="U189" i="1"/>
  <c r="V189" i="1"/>
  <c r="AA184" i="1"/>
  <c r="AA185" i="1"/>
  <c r="AA186" i="1"/>
  <c r="Y184" i="1"/>
  <c r="Y185" i="1"/>
  <c r="V185" i="1"/>
  <c r="V186" i="1"/>
  <c r="V184" i="1"/>
  <c r="U185" i="1"/>
  <c r="U186" i="1"/>
  <c r="AA180" i="1"/>
  <c r="AA181" i="1"/>
  <c r="AA182" i="1"/>
  <c r="Y181" i="1"/>
  <c r="Y180" i="1"/>
  <c r="U180" i="1"/>
  <c r="U181" i="1"/>
  <c r="U182" i="1"/>
  <c r="U172" i="1"/>
  <c r="V172" i="1"/>
  <c r="Y172" i="1"/>
  <c r="AA172" i="1"/>
  <c r="U173" i="1"/>
  <c r="V173" i="1"/>
  <c r="AA173" i="1"/>
  <c r="U174" i="1"/>
  <c r="AA174" i="1"/>
  <c r="AA3" i="1"/>
  <c r="AA4" i="1"/>
  <c r="AA6" i="1"/>
  <c r="AA7" i="1"/>
  <c r="AA8" i="1"/>
  <c r="AA10" i="1"/>
  <c r="AA11" i="1"/>
  <c r="AA12" i="1"/>
  <c r="AA15" i="1"/>
  <c r="AA16" i="1"/>
  <c r="AA18" i="1"/>
  <c r="AA19" i="1"/>
  <c r="AA20" i="1"/>
  <c r="AA21" i="1"/>
  <c r="AA22" i="1"/>
  <c r="AA23" i="1"/>
  <c r="AA24" i="1"/>
  <c r="AA26" i="1"/>
  <c r="AA27" i="1"/>
  <c r="AA28" i="1"/>
  <c r="AA30" i="1"/>
  <c r="AA31" i="1"/>
  <c r="AA32" i="1"/>
  <c r="AA33" i="1"/>
  <c r="AA34" i="1"/>
  <c r="AA35" i="1"/>
  <c r="AA38" i="1"/>
  <c r="AA39" i="1"/>
  <c r="AA40" i="1"/>
  <c r="AA41" i="1"/>
  <c r="AA42" i="1"/>
  <c r="AA43" i="1"/>
  <c r="AA44"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2" i="1"/>
  <c r="AA123" i="1"/>
  <c r="AA124" i="1"/>
  <c r="AA125" i="1"/>
  <c r="AA126" i="1"/>
  <c r="AA127" i="1"/>
  <c r="AA128" i="1"/>
  <c r="AA129" i="1"/>
  <c r="AA130" i="1"/>
  <c r="AA131" i="1"/>
  <c r="AA133" i="1"/>
  <c r="AA134" i="1"/>
  <c r="AA135" i="1"/>
  <c r="AA136" i="1"/>
  <c r="AA137" i="1"/>
  <c r="AA139" i="1"/>
  <c r="AA140" i="1"/>
  <c r="AA141" i="1"/>
  <c r="AA142" i="1"/>
  <c r="AA143" i="1"/>
  <c r="AA144" i="1"/>
  <c r="AA145" i="1"/>
  <c r="AA146" i="1"/>
  <c r="AA147" i="1"/>
  <c r="AA149" i="1"/>
  <c r="AA150" i="1"/>
  <c r="AA151" i="1"/>
  <c r="AA152" i="1"/>
  <c r="AA158" i="1"/>
  <c r="AA160" i="1"/>
  <c r="AA162" i="1"/>
  <c r="AA163" i="1"/>
  <c r="AA164" i="1"/>
  <c r="AA166" i="1"/>
  <c r="AA167" i="1"/>
  <c r="AA168" i="1"/>
  <c r="AA169" i="1"/>
  <c r="AA170" i="1"/>
  <c r="AA175" i="1"/>
  <c r="AA176" i="1"/>
  <c r="AA177" i="1"/>
  <c r="AA178" i="1"/>
  <c r="AA179" i="1"/>
  <c r="AA278" i="1"/>
  <c r="AA279" i="1"/>
  <c r="AA280" i="1"/>
  <c r="AA2" i="1"/>
  <c r="Y3" i="1"/>
  <c r="Y6" i="1"/>
  <c r="Y7" i="1"/>
  <c r="Y10" i="1"/>
  <c r="Y11" i="1"/>
  <c r="Y15" i="1"/>
  <c r="Y18" i="1"/>
  <c r="Y20" i="1"/>
  <c r="Y22" i="1"/>
  <c r="Y23" i="1"/>
  <c r="Y26" i="1"/>
  <c r="Y27" i="1"/>
  <c r="Y30" i="1"/>
  <c r="Y32" i="1"/>
  <c r="Y39" i="1"/>
  <c r="Y42" i="1"/>
  <c r="Y44" i="1"/>
  <c r="Y55" i="1"/>
  <c r="Y57" i="1"/>
  <c r="Y59" i="1"/>
  <c r="Y61" i="1"/>
  <c r="Y63" i="1"/>
  <c r="Y65" i="1"/>
  <c r="Y67" i="1"/>
  <c r="Y69" i="1"/>
  <c r="Y71" i="1"/>
  <c r="Y73" i="1"/>
  <c r="Y74" i="1"/>
  <c r="Y78" i="1"/>
  <c r="Y79" i="1"/>
  <c r="Y81" i="1"/>
  <c r="Y83" i="1"/>
  <c r="Y85" i="1"/>
  <c r="Y87" i="1"/>
  <c r="Y89" i="1"/>
  <c r="Y92" i="1"/>
  <c r="Y94" i="1"/>
  <c r="Y98" i="1"/>
  <c r="Y100" i="1"/>
  <c r="Y102" i="1"/>
  <c r="Y103" i="1"/>
  <c r="Y105" i="1"/>
  <c r="Y107" i="1"/>
  <c r="Y108" i="1"/>
  <c r="Y110" i="1"/>
  <c r="Y112" i="1"/>
  <c r="Y113" i="1"/>
  <c r="Y115" i="1"/>
  <c r="Y116" i="1"/>
  <c r="Y118" i="1"/>
  <c r="Y119" i="1"/>
  <c r="Y122" i="1"/>
  <c r="Y133" i="1"/>
  <c r="Y135" i="1"/>
  <c r="Y136" i="1"/>
  <c r="Y139" i="1"/>
  <c r="Y143" i="1"/>
  <c r="Y145" i="1"/>
  <c r="Y146" i="1"/>
  <c r="Y178" i="1"/>
  <c r="Y278" i="1"/>
  <c r="Y279" i="1"/>
  <c r="Y2" i="1"/>
  <c r="V179" i="1"/>
  <c r="U74" i="1"/>
  <c r="U75" i="1"/>
  <c r="U11" i="1"/>
  <c r="V15" i="1"/>
  <c r="V16" i="1"/>
  <c r="V19" i="1"/>
  <c r="V26" i="1"/>
  <c r="V27" i="1"/>
  <c r="V28" i="1"/>
  <c r="V38" i="1"/>
  <c r="V39" i="1"/>
  <c r="V40" i="1"/>
  <c r="V48" i="1"/>
  <c r="V50" i="1"/>
  <c r="V59" i="1"/>
  <c r="V60" i="1"/>
  <c r="V65" i="1"/>
  <c r="V66" i="1"/>
  <c r="V67" i="1"/>
  <c r="V68" i="1"/>
  <c r="V71" i="1"/>
  <c r="V72" i="1"/>
  <c r="V76" i="1"/>
  <c r="V77" i="1"/>
  <c r="V78" i="1"/>
  <c r="V79" i="1"/>
  <c r="V80" i="1"/>
  <c r="V84" i="1"/>
  <c r="V87" i="1"/>
  <c r="V88" i="1"/>
  <c r="V89" i="1"/>
  <c r="V90" i="1"/>
  <c r="V94" i="1"/>
  <c r="V95" i="1"/>
  <c r="V98" i="1"/>
  <c r="V99" i="1"/>
  <c r="V100" i="1"/>
  <c r="V101" i="1"/>
  <c r="V102" i="1"/>
  <c r="V103" i="1"/>
  <c r="V104" i="1"/>
  <c r="V107" i="1"/>
  <c r="V108" i="1"/>
  <c r="V109" i="1"/>
  <c r="V119" i="1"/>
  <c r="V120" i="1"/>
  <c r="V122" i="1"/>
  <c r="V123" i="1"/>
  <c r="V133" i="1"/>
  <c r="V134" i="1"/>
  <c r="V135" i="1"/>
  <c r="V136" i="1"/>
  <c r="V137" i="1"/>
  <c r="V139" i="1"/>
  <c r="V140" i="1"/>
  <c r="V141" i="1"/>
  <c r="V142" i="1"/>
  <c r="V144" i="1"/>
  <c r="V152" i="1"/>
  <c r="V158" i="1"/>
  <c r="V160" i="1"/>
  <c r="V162" i="1"/>
  <c r="V164" i="1"/>
  <c r="V278" i="1"/>
  <c r="V279" i="1"/>
  <c r="V280" i="1"/>
  <c r="V4" i="1"/>
  <c r="V7" i="1"/>
  <c r="V8" i="1"/>
  <c r="U62" i="1"/>
  <c r="U63" i="1"/>
  <c r="U64" i="1"/>
  <c r="U65" i="1"/>
  <c r="U66" i="1"/>
  <c r="U67" i="1"/>
  <c r="U68" i="1"/>
  <c r="U69" i="1"/>
  <c r="U70" i="1"/>
  <c r="U71" i="1"/>
  <c r="U72" i="1"/>
  <c r="U73" i="1"/>
  <c r="U76" i="1"/>
  <c r="U77" i="1"/>
  <c r="U78" i="1"/>
  <c r="U79" i="1"/>
  <c r="U80" i="1"/>
  <c r="U81" i="1"/>
  <c r="U82" i="1"/>
  <c r="U83" i="1"/>
  <c r="U84" i="1"/>
  <c r="U85" i="1"/>
  <c r="U86" i="1"/>
  <c r="U87" i="1"/>
  <c r="U88" i="1"/>
  <c r="U89" i="1"/>
  <c r="U90" i="1"/>
  <c r="U91" i="1"/>
  <c r="U92" i="1"/>
  <c r="U93" i="1"/>
  <c r="U94" i="1"/>
  <c r="U95" i="1"/>
  <c r="U98" i="1"/>
  <c r="U99" i="1"/>
  <c r="U100" i="1"/>
  <c r="U101" i="1"/>
  <c r="U102" i="1"/>
  <c r="U103" i="1"/>
  <c r="U104" i="1"/>
  <c r="U105" i="1"/>
  <c r="U106" i="1"/>
  <c r="U107" i="1"/>
  <c r="U108" i="1"/>
  <c r="U109" i="1"/>
  <c r="U110" i="1"/>
  <c r="U111" i="1"/>
  <c r="U112" i="1"/>
  <c r="U113" i="1"/>
  <c r="U114" i="1"/>
  <c r="U115" i="1"/>
  <c r="U116" i="1"/>
  <c r="U117" i="1"/>
  <c r="U118" i="1"/>
  <c r="U119" i="1"/>
  <c r="U120" i="1"/>
  <c r="U122" i="1"/>
  <c r="U123" i="1"/>
  <c r="U124" i="1"/>
  <c r="U125" i="1"/>
  <c r="U126" i="1"/>
  <c r="U127" i="1"/>
  <c r="U128" i="1"/>
  <c r="U129" i="1"/>
  <c r="U130" i="1"/>
  <c r="U131" i="1"/>
  <c r="U133" i="1"/>
  <c r="U134" i="1"/>
  <c r="U135" i="1"/>
  <c r="U136" i="1"/>
  <c r="U137" i="1"/>
  <c r="U139" i="1"/>
  <c r="U140" i="1"/>
  <c r="U141" i="1"/>
  <c r="U142" i="1"/>
  <c r="U143" i="1"/>
  <c r="U144" i="1"/>
  <c r="U147" i="1"/>
  <c r="U149" i="1"/>
  <c r="U150" i="1"/>
  <c r="U151" i="1"/>
  <c r="U152" i="1"/>
  <c r="U158" i="1"/>
  <c r="U160" i="1"/>
  <c r="U162" i="1"/>
  <c r="U163" i="1"/>
  <c r="U164" i="1"/>
  <c r="U166" i="1"/>
  <c r="U167" i="1"/>
  <c r="U168" i="1"/>
  <c r="U169" i="1"/>
  <c r="U170" i="1"/>
  <c r="U175" i="1"/>
  <c r="U176" i="1"/>
  <c r="U177" i="1"/>
  <c r="U178" i="1"/>
  <c r="U179" i="1"/>
  <c r="U278" i="1"/>
  <c r="U279" i="1"/>
  <c r="U280" i="1"/>
  <c r="U3" i="1"/>
  <c r="U4" i="1"/>
  <c r="U6" i="1"/>
  <c r="U7" i="1"/>
  <c r="U8" i="1"/>
  <c r="U10" i="1"/>
  <c r="U12" i="1"/>
  <c r="U15" i="1"/>
  <c r="U16" i="1"/>
  <c r="U18" i="1"/>
  <c r="U19" i="1"/>
  <c r="U20" i="1"/>
  <c r="U21" i="1"/>
  <c r="U22" i="1"/>
  <c r="U23" i="1"/>
  <c r="U24" i="1"/>
  <c r="U26" i="1"/>
  <c r="U27" i="1"/>
  <c r="U28" i="1"/>
  <c r="U32" i="1"/>
  <c r="U33" i="1"/>
  <c r="U34" i="1"/>
  <c r="U35" i="1"/>
  <c r="U38" i="1"/>
  <c r="U39" i="1"/>
  <c r="U40" i="1"/>
  <c r="U41" i="1"/>
  <c r="U42" i="1"/>
  <c r="U43" i="1"/>
  <c r="U44" i="1"/>
  <c r="U46" i="1"/>
  <c r="U47" i="1"/>
  <c r="U48" i="1"/>
  <c r="U49" i="1"/>
  <c r="U50" i="1"/>
  <c r="U51" i="1"/>
  <c r="U52" i="1"/>
  <c r="U53" i="1"/>
  <c r="U54" i="1"/>
  <c r="U55" i="1"/>
  <c r="U56" i="1"/>
  <c r="U57" i="1"/>
  <c r="U58" i="1"/>
  <c r="U59" i="1"/>
  <c r="U60" i="1"/>
  <c r="U61" i="1"/>
  <c r="U2" i="1"/>
  <c r="AE227" i="1" l="1"/>
  <c r="AE21" i="1"/>
  <c r="AE239" i="1"/>
  <c r="AE18" i="1"/>
  <c r="AE47" i="1"/>
  <c r="AE252" i="1"/>
  <c r="AE261" i="1"/>
  <c r="AE184" i="1"/>
  <c r="AE243" i="1"/>
  <c r="AE178" i="1"/>
  <c r="AE255" i="1"/>
  <c r="AE289" i="1"/>
  <c r="AE257" i="1"/>
  <c r="AE69" i="1"/>
  <c r="AE71" i="1"/>
  <c r="AE127" i="1"/>
  <c r="AE218" i="1"/>
  <c r="AE199" i="1"/>
  <c r="AE116" i="1"/>
  <c r="AE173" i="1"/>
  <c r="AE267" i="1"/>
  <c r="AE221" i="1"/>
  <c r="AE54" i="1"/>
  <c r="AE106" i="1"/>
  <c r="AE95" i="1"/>
  <c r="AE167" i="1"/>
  <c r="AE186" i="1"/>
  <c r="AE19" i="1"/>
  <c r="AE279" i="1"/>
  <c r="AE248" i="1"/>
  <c r="AE52" i="1"/>
  <c r="AE75" i="1"/>
  <c r="AE284" i="1"/>
  <c r="AE103" i="1"/>
  <c r="AE62" i="1"/>
  <c r="AE100" i="1"/>
  <c r="AE237" i="1"/>
  <c r="AE55" i="1"/>
  <c r="AE30" i="1"/>
  <c r="AC364" i="1"/>
  <c r="AC354" i="1"/>
  <c r="AC359" i="1"/>
  <c r="AC365" i="1"/>
  <c r="AC350" i="1"/>
  <c r="AC358" i="1"/>
  <c r="U358" i="1" s="1"/>
  <c r="AC349" i="1"/>
  <c r="U349" i="1" s="1"/>
  <c r="AC357" i="1"/>
  <c r="AC363" i="1"/>
  <c r="AC356" i="1"/>
  <c r="U356" i="1" s="1"/>
  <c r="AC372" i="1"/>
  <c r="AC353" i="1"/>
  <c r="AC352" i="1"/>
  <c r="AC347" i="1"/>
  <c r="AC370" i="1"/>
  <c r="AC371" i="1"/>
  <c r="AC343" i="1"/>
  <c r="AC366" i="1"/>
  <c r="AC369" i="1"/>
  <c r="AC368" i="1"/>
  <c r="AC367" i="1"/>
  <c r="AC351" i="1"/>
  <c r="AC362" i="1"/>
  <c r="U362" i="1" s="1"/>
  <c r="AC344" i="1"/>
  <c r="AC361" i="1"/>
  <c r="AC355" i="1"/>
  <c r="AC345" i="1"/>
  <c r="AC346" i="1"/>
  <c r="AC348" i="1"/>
  <c r="AC360" i="1"/>
  <c r="Z14" i="1"/>
  <c r="Z266" i="1"/>
  <c r="N163" i="1"/>
  <c r="R163" i="1" s="1"/>
  <c r="T357" i="1"/>
  <c r="T356" i="1"/>
  <c r="T279" i="1"/>
  <c r="AI279" i="1" s="1" a="1"/>
  <c r="AI279" i="1" s="1"/>
  <c r="T135" i="1"/>
  <c r="AI135" i="1" s="1" a="1"/>
  <c r="AI135" i="1" s="1"/>
  <c r="T231" i="1"/>
  <c r="AI231" i="1" s="1" a="1"/>
  <c r="AI231" i="1" s="1"/>
  <c r="T115" i="1"/>
  <c r="AI115" i="1" s="1" a="1"/>
  <c r="AI115" i="1" s="1"/>
  <c r="T232" i="1"/>
  <c r="T216" i="1"/>
  <c r="T365" i="1"/>
  <c r="T83" i="1"/>
  <c r="AI83" i="1" s="1" a="1"/>
  <c r="AI83" i="1" s="1"/>
  <c r="T67" i="1"/>
  <c r="AI67" i="1" s="1" a="1"/>
  <c r="AI67" i="1" s="1"/>
  <c r="T51" i="1"/>
  <c r="AI51" i="1" s="1" a="1"/>
  <c r="AI51" i="1" s="1"/>
  <c r="T32" i="1"/>
  <c r="AI32" i="1" s="1" a="1"/>
  <c r="AI32" i="1" s="1"/>
  <c r="T178" i="1"/>
  <c r="AI178" i="1" s="1" a="1"/>
  <c r="AI178" i="1" s="1"/>
  <c r="T134" i="1"/>
  <c r="T158" i="1"/>
  <c r="AI158" i="1" s="1" a="1"/>
  <c r="AI158" i="1" s="1"/>
  <c r="T69" i="1"/>
  <c r="AI69" i="1" s="1" a="1"/>
  <c r="AI69" i="1" s="1"/>
  <c r="T53" i="1"/>
  <c r="AI53" i="1" s="1" a="1"/>
  <c r="AI53" i="1" s="1"/>
  <c r="T34" i="1"/>
  <c r="AI34" i="1" s="1" a="1"/>
  <c r="AI34" i="1" s="1"/>
  <c r="T108" i="1"/>
  <c r="T92" i="1"/>
  <c r="AI92" i="1" s="1" a="1"/>
  <c r="AI92" i="1" s="1"/>
  <c r="T181" i="1"/>
  <c r="T137" i="1"/>
  <c r="T180" i="1"/>
  <c r="AI180" i="1" s="1" a="1"/>
  <c r="AI180" i="1" s="1"/>
  <c r="T215" i="1"/>
  <c r="T199" i="1"/>
  <c r="AI199" i="1" s="1" a="1"/>
  <c r="AI199" i="1" s="1"/>
  <c r="T99" i="1"/>
  <c r="T10" i="1"/>
  <c r="AI10" i="1" s="1" a="1"/>
  <c r="AI10" i="1" s="1"/>
  <c r="T366" i="1"/>
  <c r="T280" i="1"/>
  <c r="T362" i="1"/>
  <c r="T348" i="1"/>
  <c r="T368" i="1"/>
  <c r="T344" i="1"/>
  <c r="T204" i="1"/>
  <c r="AI204" i="1" s="1" a="1"/>
  <c r="AI204" i="1" s="1"/>
  <c r="T71" i="1"/>
  <c r="AI71" i="1" s="1" a="1"/>
  <c r="AI71" i="1" s="1"/>
  <c r="T55" i="1"/>
  <c r="AI55" i="1" s="1" a="1"/>
  <c r="AI55" i="1" s="1"/>
  <c r="T38" i="1"/>
  <c r="T237" i="1"/>
  <c r="T219" i="1"/>
  <c r="AI219" i="1" s="1" a="1"/>
  <c r="AI219" i="1" s="1"/>
  <c r="T103" i="1"/>
  <c r="T87" i="1"/>
  <c r="AI87" i="1" s="1" a="1"/>
  <c r="AI87" i="1" s="1"/>
  <c r="T355" i="1"/>
  <c r="T200" i="1"/>
  <c r="AI200" i="1" s="1" a="1"/>
  <c r="AI200" i="1" s="1"/>
  <c r="T127" i="1"/>
  <c r="AI127" i="1" s="1" a="1"/>
  <c r="AI127" i="1" s="1"/>
  <c r="T349" i="1"/>
  <c r="T170" i="1"/>
  <c r="AI170" i="1" s="1" a="1"/>
  <c r="AI170" i="1" s="1"/>
  <c r="T144" i="1"/>
  <c r="T126" i="1"/>
  <c r="AI126" i="1" s="1" a="1"/>
  <c r="AI126" i="1" s="1"/>
  <c r="T107" i="1"/>
  <c r="AI107" i="1" s="1" a="1"/>
  <c r="AI107" i="1" s="1"/>
  <c r="T91" i="1"/>
  <c r="AI91" i="1" s="1" a="1"/>
  <c r="AI91" i="1" s="1"/>
  <c r="T74" i="1"/>
  <c r="T58" i="1"/>
  <c r="T41" i="1"/>
  <c r="AI41" i="1" s="1" a="1"/>
  <c r="AI41" i="1" s="1"/>
  <c r="T220" i="1"/>
  <c r="T182" i="1"/>
  <c r="T164" i="1"/>
  <c r="AI164" i="1" s="1" a="1"/>
  <c r="AI164" i="1" s="1"/>
  <c r="T139" i="1"/>
  <c r="AI139" i="1" s="1" a="1"/>
  <c r="AI139" i="1" s="1"/>
  <c r="T120" i="1"/>
  <c r="T367" i="1"/>
  <c r="T203" i="1"/>
  <c r="AI203" i="1" s="1" a="1"/>
  <c r="AI203" i="1" s="1"/>
  <c r="T70" i="1"/>
  <c r="T54" i="1"/>
  <c r="T35" i="1"/>
  <c r="T236" i="1"/>
  <c r="AI236" i="1" s="1" a="1"/>
  <c r="AI236" i="1" s="1"/>
  <c r="T218" i="1"/>
  <c r="T102" i="1"/>
  <c r="AI102" i="1" s="1" a="1"/>
  <c r="AI102" i="1" s="1"/>
  <c r="T86" i="1"/>
  <c r="T248" i="1"/>
  <c r="T196" i="1"/>
  <c r="AI196" i="1" s="1" a="1"/>
  <c r="AI196" i="1" s="1"/>
  <c r="T225" i="1"/>
  <c r="AI225" i="1" s="1" a="1"/>
  <c r="AI225" i="1" s="1"/>
  <c r="T76" i="1"/>
  <c r="AI76" i="1" s="1" a="1"/>
  <c r="AI76" i="1" s="1"/>
  <c r="T242" i="1"/>
  <c r="AI242" i="1" s="1" a="1"/>
  <c r="AI242" i="1" s="1"/>
  <c r="T169" i="1"/>
  <c r="T143" i="1"/>
  <c r="AI143" i="1" s="1" a="1"/>
  <c r="AI143" i="1" s="1"/>
  <c r="T125" i="1"/>
  <c r="T59" i="1"/>
  <c r="AI59" i="1" s="1" a="1"/>
  <c r="AI59" i="1" s="1"/>
  <c r="T42" i="1"/>
  <c r="AI42" i="1" s="1" a="1"/>
  <c r="AI42" i="1" s="1"/>
  <c r="T168" i="1"/>
  <c r="AI168" i="1" s="1" a="1"/>
  <c r="AI168" i="1" s="1"/>
  <c r="T21" i="1"/>
  <c r="T106" i="1"/>
  <c r="AI106" i="1" s="1" a="1"/>
  <c r="AI106" i="1" s="1"/>
  <c r="T90" i="1"/>
  <c r="T187" i="1"/>
  <c r="AI187" i="1" s="1" a="1"/>
  <c r="AI187" i="1" s="1"/>
  <c r="T16" i="1"/>
  <c r="T152" i="1"/>
  <c r="AI152" i="1" s="1" a="1"/>
  <c r="AI152" i="1" s="1"/>
  <c r="T247" i="1"/>
  <c r="AI247" i="1" s="1" a="1"/>
  <c r="AI247" i="1" s="1"/>
  <c r="T113" i="1"/>
  <c r="T97" i="1"/>
  <c r="T245" i="1"/>
  <c r="AI245" i="1" s="1" a="1"/>
  <c r="AI245" i="1" s="1"/>
  <c r="T195" i="1"/>
  <c r="T60" i="1"/>
  <c r="T43" i="1"/>
  <c r="T23" i="1"/>
  <c r="Z22" i="1" s="1"/>
  <c r="T358" i="1"/>
  <c r="T162" i="1"/>
  <c r="AI162" i="1" s="1" a="1"/>
  <c r="AI162" i="1" s="1"/>
  <c r="T228" i="1"/>
  <c r="T212" i="1"/>
  <c r="AI212" i="1" s="1" a="1"/>
  <c r="AI212" i="1" s="1"/>
  <c r="T351" i="1"/>
  <c r="T227" i="1"/>
  <c r="AI227" i="1" s="1" a="1"/>
  <c r="AI227" i="1" s="1"/>
  <c r="T211" i="1"/>
  <c r="T244" i="1"/>
  <c r="AI244" i="1" s="1" a="1"/>
  <c r="AI244" i="1" s="1"/>
  <c r="T243" i="1"/>
  <c r="AI243" i="1" s="1" a="1"/>
  <c r="AI243" i="1" s="1"/>
  <c r="T192" i="1"/>
  <c r="T119" i="1"/>
  <c r="T246" i="1"/>
  <c r="AI246" i="1" s="1" a="1"/>
  <c r="AI246" i="1" s="1"/>
  <c r="T2" i="1"/>
  <c r="T109" i="1"/>
  <c r="T93" i="1"/>
  <c r="T224" i="1"/>
  <c r="T208" i="1"/>
  <c r="T191" i="1"/>
  <c r="T373" i="1"/>
  <c r="T347" i="1"/>
  <c r="T240" i="1"/>
  <c r="T188" i="1"/>
  <c r="T221" i="1"/>
  <c r="T205" i="1"/>
  <c r="AI205" i="1" s="1" a="1"/>
  <c r="AI205" i="1" s="1"/>
  <c r="T104" i="1"/>
  <c r="T88" i="1"/>
  <c r="T18" i="1"/>
  <c r="AI18" i="1" s="1" a="1"/>
  <c r="AI18" i="1" s="1"/>
  <c r="T160" i="1"/>
  <c r="AI160" i="1" s="1" a="1"/>
  <c r="AI160" i="1" s="1"/>
  <c r="T136" i="1"/>
  <c r="T179" i="1"/>
  <c r="T68" i="1"/>
  <c r="T52" i="1"/>
  <c r="T33" i="1"/>
  <c r="T363" i="1"/>
  <c r="T278" i="1"/>
  <c r="AI278" i="1" s="1" a="1"/>
  <c r="AI278" i="1" s="1"/>
  <c r="T116" i="1"/>
  <c r="T100" i="1"/>
  <c r="AI100" i="1" s="1" a="1"/>
  <c r="AI100" i="1" s="1"/>
  <c r="T11" i="1"/>
  <c r="T229" i="1"/>
  <c r="AI229" i="1" s="1" a="1"/>
  <c r="AI229" i="1" s="1"/>
  <c r="T213" i="1"/>
  <c r="T197" i="1"/>
  <c r="AI197" i="1" s="1" a="1"/>
  <c r="AI197" i="1" s="1"/>
  <c r="T175" i="1"/>
  <c r="AI175" i="1" s="1" a="1"/>
  <c r="AI175" i="1" s="1"/>
  <c r="T149" i="1"/>
  <c r="AI149" i="1" s="1" a="1"/>
  <c r="AI149" i="1" s="1"/>
  <c r="T130" i="1"/>
  <c r="AI130" i="1" s="1" a="1"/>
  <c r="AI130" i="1" s="1"/>
  <c r="T80" i="1"/>
  <c r="T64" i="1"/>
  <c r="T48" i="1"/>
  <c r="T28" i="1"/>
  <c r="T7" i="1"/>
  <c r="T353" i="1"/>
  <c r="T174" i="1"/>
  <c r="AI174" i="1" s="1" a="1"/>
  <c r="AI174" i="1" s="1"/>
  <c r="T112" i="1"/>
  <c r="AI112" i="1" s="1" a="1"/>
  <c r="AI112" i="1" s="1"/>
  <c r="T96" i="1"/>
  <c r="AI96" i="1" s="1" a="1"/>
  <c r="AI96" i="1" s="1"/>
  <c r="T79" i="1"/>
  <c r="T63" i="1"/>
  <c r="AI63" i="1" s="1" a="1"/>
  <c r="AI63" i="1" s="1"/>
  <c r="T47" i="1"/>
  <c r="AI47" i="1" s="1" a="1"/>
  <c r="AI47" i="1" s="1"/>
  <c r="T27" i="1"/>
  <c r="T111" i="1"/>
  <c r="T95" i="1"/>
  <c r="T4" i="1"/>
  <c r="T352" i="1"/>
  <c r="T241" i="1"/>
  <c r="AI241" i="1" s="1" a="1"/>
  <c r="AI241" i="1" s="1"/>
  <c r="T223" i="1"/>
  <c r="T207" i="1"/>
  <c r="AI207" i="1" s="1" a="1"/>
  <c r="AI207" i="1" s="1"/>
  <c r="T190" i="1"/>
  <c r="AI190" i="1" s="1" a="1"/>
  <c r="AI190" i="1" s="1"/>
  <c r="T142" i="1"/>
  <c r="AI142" i="1" s="1" a="1"/>
  <c r="AI142" i="1" s="1"/>
  <c r="T124" i="1"/>
  <c r="AI124" i="1" s="1" a="1"/>
  <c r="AI124" i="1" s="1"/>
  <c r="T372" i="1"/>
  <c r="T346" i="1"/>
  <c r="T222" i="1"/>
  <c r="AI222" i="1" s="1" a="1"/>
  <c r="AI222" i="1" s="1"/>
  <c r="T206" i="1"/>
  <c r="T167" i="1"/>
  <c r="AI167" i="1" s="1" a="1"/>
  <c r="AI167" i="1" s="1"/>
  <c r="T141" i="1"/>
  <c r="T123" i="1"/>
  <c r="T73" i="1"/>
  <c r="AI73" i="1" s="1" a="1"/>
  <c r="AI73" i="1" s="1"/>
  <c r="T57" i="1"/>
  <c r="AI57" i="1" s="1" a="1"/>
  <c r="AI57" i="1" s="1"/>
  <c r="T40" i="1"/>
  <c r="T20" i="1"/>
  <c r="AI20" i="1" s="1" a="1"/>
  <c r="AI20" i="1" s="1"/>
  <c r="T235" i="1"/>
  <c r="T369" i="1"/>
  <c r="T345" i="1"/>
  <c r="T239" i="1"/>
  <c r="AI239" i="1" s="1" a="1"/>
  <c r="AI239" i="1" s="1"/>
  <c r="T166" i="1"/>
  <c r="AI166" i="1" s="1" a="1"/>
  <c r="AI166" i="1" s="1"/>
  <c r="T140" i="1"/>
  <c r="T122" i="1"/>
  <c r="AI122" i="1" s="1" a="1"/>
  <c r="AI122" i="1" s="1"/>
  <c r="T105" i="1"/>
  <c r="AI105" i="1" s="1" a="1"/>
  <c r="AI105" i="1" s="1"/>
  <c r="T89" i="1"/>
  <c r="AI89" i="1" s="1" a="1"/>
  <c r="AI89" i="1" s="1"/>
  <c r="T72" i="1"/>
  <c r="AI72" i="1" s="1" a="1"/>
  <c r="AI72" i="1" s="1"/>
  <c r="T56" i="1"/>
  <c r="T39" i="1"/>
  <c r="T19" i="1"/>
  <c r="T238" i="1"/>
  <c r="T233" i="1"/>
  <c r="AI233" i="1" s="1" a="1"/>
  <c r="AI233" i="1" s="1"/>
  <c r="T217" i="1"/>
  <c r="AI217" i="1" s="1" a="1"/>
  <c r="AI217" i="1" s="1"/>
  <c r="T201" i="1"/>
  <c r="T117" i="1"/>
  <c r="T101" i="1"/>
  <c r="T85" i="1"/>
  <c r="AI85" i="1" s="1" a="1"/>
  <c r="AI85" i="1" s="1"/>
  <c r="T12" i="1"/>
  <c r="T361" i="1"/>
  <c r="T360" i="1"/>
  <c r="T249" i="1"/>
  <c r="T177" i="1"/>
  <c r="T151" i="1"/>
  <c r="AI151" i="1" s="1" a="1"/>
  <c r="AI151" i="1" s="1"/>
  <c r="T133" i="1"/>
  <c r="AI133" i="1" s="1" a="1"/>
  <c r="AI133" i="1" s="1"/>
  <c r="T82" i="1"/>
  <c r="T66" i="1"/>
  <c r="T50" i="1"/>
  <c r="T31" i="1"/>
  <c r="T230" i="1"/>
  <c r="T214" i="1"/>
  <c r="AI214" i="1" s="1" a="1"/>
  <c r="AI214" i="1" s="1"/>
  <c r="T198" i="1"/>
  <c r="AI198" i="1" s="1" a="1"/>
  <c r="AI198" i="1" s="1"/>
  <c r="T176" i="1"/>
  <c r="AI176" i="1" s="1" a="1"/>
  <c r="AI176" i="1" s="1"/>
  <c r="T150" i="1"/>
  <c r="T131" i="1"/>
  <c r="AI131" i="1" s="1" a="1"/>
  <c r="AI131" i="1" s="1"/>
  <c r="T114" i="1"/>
  <c r="T98" i="1"/>
  <c r="AI98" i="1" s="1" a="1"/>
  <c r="AI98" i="1" s="1"/>
  <c r="T81" i="1"/>
  <c r="AI81" i="1" s="1" a="1"/>
  <c r="AI81" i="1" s="1"/>
  <c r="T65" i="1"/>
  <c r="AI65" i="1" s="1" a="1"/>
  <c r="AI65" i="1" s="1"/>
  <c r="T49" i="1"/>
  <c r="AI49" i="1" s="1" a="1"/>
  <c r="AI49" i="1" s="1"/>
  <c r="T30" i="1"/>
  <c r="AI30" i="1" s="1" a="1"/>
  <c r="AI30" i="1" s="1"/>
  <c r="T8" i="1"/>
  <c r="T184" i="1"/>
  <c r="AI184" i="1" s="1" a="1"/>
  <c r="AI184" i="1" s="1"/>
  <c r="T185" i="1"/>
  <c r="T147" i="1"/>
  <c r="T129" i="1"/>
  <c r="AI129" i="1" s="1" a="1"/>
  <c r="AI129" i="1" s="1"/>
  <c r="T6" i="1"/>
  <c r="AI6" i="1" s="1" a="1"/>
  <c r="AI6" i="1" s="1"/>
  <c r="T186" i="1"/>
  <c r="T173" i="1"/>
  <c r="T146" i="1"/>
  <c r="T128" i="1"/>
  <c r="AI128" i="1" s="1" a="1"/>
  <c r="AI128" i="1" s="1"/>
  <c r="T78" i="1"/>
  <c r="AI78" i="1" s="1" a="1"/>
  <c r="AI78" i="1" s="1"/>
  <c r="T62" i="1"/>
  <c r="T46" i="1"/>
  <c r="T26" i="1"/>
  <c r="AI26" i="1" s="1" a="1"/>
  <c r="AI26" i="1" s="1"/>
  <c r="T234" i="1"/>
  <c r="AI234" i="1" s="1" a="1"/>
  <c r="AI234" i="1" s="1"/>
  <c r="T350" i="1"/>
  <c r="T226" i="1"/>
  <c r="T210" i="1"/>
  <c r="T194" i="1"/>
  <c r="AI194" i="1" s="1" a="1"/>
  <c r="AI194" i="1" s="1"/>
  <c r="T172" i="1"/>
  <c r="AI172" i="1" s="1" a="1"/>
  <c r="AI172" i="1" s="1"/>
  <c r="T110" i="1"/>
  <c r="AI110" i="1" s="1" a="1"/>
  <c r="AI110" i="1" s="1"/>
  <c r="T94" i="1"/>
  <c r="AI94" i="1" s="1" a="1"/>
  <c r="AI94" i="1" s="1"/>
  <c r="T77" i="1"/>
  <c r="AI77" i="1" s="1" a="1"/>
  <c r="AI77" i="1" s="1"/>
  <c r="T61" i="1"/>
  <c r="AI61" i="1" s="1" a="1"/>
  <c r="AI61" i="1" s="1"/>
  <c r="T44" i="1"/>
  <c r="AI44" i="1" s="1" a="1"/>
  <c r="AI44" i="1" s="1"/>
  <c r="T24" i="1"/>
  <c r="E24" i="7"/>
  <c r="F24" i="7" s="1"/>
  <c r="E32" i="7"/>
  <c r="F32" i="7" s="1"/>
  <c r="E33" i="7"/>
  <c r="F33" i="7" s="1"/>
  <c r="E34" i="7"/>
  <c r="F34" i="7" s="1"/>
  <c r="E20" i="7"/>
  <c r="F20" i="7" s="1"/>
  <c r="E22" i="7"/>
  <c r="F22" i="7" s="1"/>
  <c r="E21" i="7"/>
  <c r="F21" i="7" s="1"/>
  <c r="E30" i="7"/>
  <c r="F30" i="7" s="1"/>
  <c r="E27" i="7"/>
  <c r="F27" i="7" s="1"/>
  <c r="E23" i="7"/>
  <c r="F23" i="7" s="1"/>
  <c r="E18" i="7"/>
  <c r="F18" i="7" s="1"/>
  <c r="E17" i="7"/>
  <c r="F17" i="7" s="1"/>
  <c r="E29" i="7"/>
  <c r="F29" i="7" s="1"/>
  <c r="E26" i="7"/>
  <c r="F26" i="7" s="1"/>
  <c r="E25" i="7"/>
  <c r="F25" i="7" s="1"/>
  <c r="E31" i="7"/>
  <c r="F31" i="7" s="1"/>
  <c r="E28" i="7"/>
  <c r="F28" i="7" s="1"/>
  <c r="E19" i="7"/>
  <c r="F19" i="7" s="1"/>
  <c r="AI209" i="1" a="1"/>
  <c r="AI209" i="1" s="1"/>
  <c r="AI145" i="1" a="1"/>
  <c r="AI145" i="1" s="1"/>
  <c r="AI3" i="1" a="1"/>
  <c r="AI3" i="1" s="1"/>
  <c r="AI202" i="1" a="1"/>
  <c r="AI202" i="1" s="1"/>
  <c r="AI75" i="1" a="1"/>
  <c r="AI75" i="1" s="1"/>
  <c r="AI22" i="1" a="1"/>
  <c r="AI22" i="1" s="1"/>
  <c r="AI118" i="1" a="1"/>
  <c r="AI118" i="1" s="1"/>
  <c r="AI15" i="1" a="1"/>
  <c r="AI15" i="1" s="1"/>
  <c r="AI84" i="1" a="1"/>
  <c r="AI84" i="1" s="1"/>
  <c r="AI14" i="1" a="1"/>
  <c r="AI14" i="1" s="1"/>
  <c r="Z47" i="1" l="1"/>
  <c r="Z49" i="1"/>
  <c r="Z44" i="1"/>
  <c r="AI169" i="1" a="1"/>
  <c r="AI169" i="1" s="1"/>
  <c r="AI39" i="1" a="1"/>
  <c r="AI39" i="1" s="1"/>
  <c r="AI38" i="1" a="1"/>
  <c r="AI38" i="1" s="1"/>
  <c r="AI177" i="1" a="1"/>
  <c r="AI177" i="1" s="1"/>
  <c r="U371" i="1"/>
  <c r="AD371" i="1"/>
  <c r="AE371" i="1"/>
  <c r="AF371" i="1"/>
  <c r="U348" i="1"/>
  <c r="AE348" i="1"/>
  <c r="AF348" i="1"/>
  <c r="AD348" i="1"/>
  <c r="U352" i="1"/>
  <c r="AD352" i="1"/>
  <c r="AE352" i="1"/>
  <c r="AF352" i="1"/>
  <c r="U346" i="1"/>
  <c r="AF346" i="1"/>
  <c r="AE346" i="1"/>
  <c r="AD346" i="1"/>
  <c r="U353" i="1"/>
  <c r="AD353" i="1"/>
  <c r="AE353" i="1"/>
  <c r="AF353" i="1"/>
  <c r="U372" i="1"/>
  <c r="AD372" i="1"/>
  <c r="AE372" i="1"/>
  <c r="AF372" i="1"/>
  <c r="U355" i="1"/>
  <c r="AD355" i="1"/>
  <c r="AE355" i="1"/>
  <c r="AF355" i="1"/>
  <c r="AD356" i="1"/>
  <c r="AE356" i="1"/>
  <c r="AF356" i="1"/>
  <c r="U370" i="1"/>
  <c r="AD370" i="1"/>
  <c r="AE370" i="1"/>
  <c r="AF370" i="1"/>
  <c r="U361" i="1"/>
  <c r="AD361" i="1"/>
  <c r="AE361" i="1"/>
  <c r="AF361" i="1"/>
  <c r="U363" i="1"/>
  <c r="AF363" i="1"/>
  <c r="AD363" i="1"/>
  <c r="AE363" i="1"/>
  <c r="U360" i="1"/>
  <c r="AD360" i="1"/>
  <c r="AF360" i="1"/>
  <c r="AE360" i="1"/>
  <c r="U344" i="1"/>
  <c r="AF344" i="1"/>
  <c r="AD344" i="1"/>
  <c r="AE344" i="1"/>
  <c r="U357" i="1"/>
  <c r="AD357" i="1"/>
  <c r="AE357" i="1"/>
  <c r="AF357" i="1"/>
  <c r="U345" i="1"/>
  <c r="AE345" i="1"/>
  <c r="AD345" i="1"/>
  <c r="AF345" i="1"/>
  <c r="AF362" i="1"/>
  <c r="AE362" i="1"/>
  <c r="AD362" i="1"/>
  <c r="AE349" i="1"/>
  <c r="AF349" i="1"/>
  <c r="AD349" i="1"/>
  <c r="U351" i="1"/>
  <c r="AE351" i="1"/>
  <c r="AF351" i="1"/>
  <c r="AD351" i="1"/>
  <c r="AD358" i="1"/>
  <c r="AE358" i="1"/>
  <c r="AF358" i="1"/>
  <c r="U367" i="1"/>
  <c r="AE367" i="1"/>
  <c r="AF367" i="1"/>
  <c r="AD367" i="1"/>
  <c r="U350" i="1"/>
  <c r="AE350" i="1"/>
  <c r="AD350" i="1"/>
  <c r="AF350" i="1"/>
  <c r="U365" i="1"/>
  <c r="AE365" i="1"/>
  <c r="AF365" i="1"/>
  <c r="AD365" i="1"/>
  <c r="U347" i="1"/>
  <c r="AF347" i="1"/>
  <c r="AD347" i="1"/>
  <c r="AE347" i="1"/>
  <c r="U369" i="1"/>
  <c r="AD369" i="1"/>
  <c r="AE369" i="1"/>
  <c r="AF369" i="1"/>
  <c r="U359" i="1"/>
  <c r="AD359" i="1"/>
  <c r="AE359" i="1"/>
  <c r="AF359" i="1"/>
  <c r="U368" i="1"/>
  <c r="AD368" i="1"/>
  <c r="AE368" i="1"/>
  <c r="AF368" i="1"/>
  <c r="U366" i="1"/>
  <c r="AE366" i="1"/>
  <c r="AF366" i="1"/>
  <c r="AD366" i="1"/>
  <c r="U354" i="1"/>
  <c r="AD354" i="1"/>
  <c r="AE354" i="1"/>
  <c r="AF354" i="1"/>
  <c r="AF343" i="1"/>
  <c r="AD343" i="1"/>
  <c r="U343" i="1"/>
  <c r="AE343" i="1"/>
  <c r="U364" i="1"/>
  <c r="AE364" i="1"/>
  <c r="AF364" i="1"/>
  <c r="AD364" i="1"/>
  <c r="Z71" i="1"/>
  <c r="Z204" i="1"/>
  <c r="AI97" i="1" a="1"/>
  <c r="AI97" i="1" s="1"/>
  <c r="Z96" i="1"/>
  <c r="AI226" i="1" a="1"/>
  <c r="AI226" i="1" s="1"/>
  <c r="Z225" i="1"/>
  <c r="AI8" i="1" a="1"/>
  <c r="AI8" i="1" s="1"/>
  <c r="Z7" i="1"/>
  <c r="AI82" i="1" a="1"/>
  <c r="AI82" i="1" s="1"/>
  <c r="Z81" i="1"/>
  <c r="AI123" i="1" a="1"/>
  <c r="AI123" i="1" s="1"/>
  <c r="Z122" i="1"/>
  <c r="AI111" i="1" a="1"/>
  <c r="AI111" i="1" s="1"/>
  <c r="Z110" i="1"/>
  <c r="AI88" i="1" a="1"/>
  <c r="AI88" i="1" s="1"/>
  <c r="Z87" i="1"/>
  <c r="AI192" i="1" a="1"/>
  <c r="AI192" i="1" s="1"/>
  <c r="Z191" i="1"/>
  <c r="AI113" i="1" a="1"/>
  <c r="AI113" i="1" s="1"/>
  <c r="Z112" i="1"/>
  <c r="AI220" i="1" a="1"/>
  <c r="AI220" i="1" s="1"/>
  <c r="Z219" i="1"/>
  <c r="AI237" i="1" a="1"/>
  <c r="AI237" i="1" s="1"/>
  <c r="Z236" i="1"/>
  <c r="AI137" i="1" a="1"/>
  <c r="AI137" i="1" s="1"/>
  <c r="Z136" i="1"/>
  <c r="AI216" i="1" a="1"/>
  <c r="AI216" i="1" s="1"/>
  <c r="Z215" i="1"/>
  <c r="AI185" i="1" a="1"/>
  <c r="AI185" i="1" s="1"/>
  <c r="Z184" i="1"/>
  <c r="AI215" i="1" a="1"/>
  <c r="AI215" i="1" s="1"/>
  <c r="Z214" i="1"/>
  <c r="AI56" i="1" a="1"/>
  <c r="AI56" i="1" s="1"/>
  <c r="Z55" i="1"/>
  <c r="AI141" i="1" a="1"/>
  <c r="AI141" i="1" s="1"/>
  <c r="Z140" i="1"/>
  <c r="AI27" i="1" a="1"/>
  <c r="AI27" i="1" s="1"/>
  <c r="Z26" i="1"/>
  <c r="AI104" i="1" a="1"/>
  <c r="AI104" i="1" s="1"/>
  <c r="Z103" i="1"/>
  <c r="AI181" i="1" a="1"/>
  <c r="AI181" i="1" s="1"/>
  <c r="Z180" i="1"/>
  <c r="AI232" i="1" a="1"/>
  <c r="AI232" i="1" s="1"/>
  <c r="Z231" i="1"/>
  <c r="AI213" i="1" a="1"/>
  <c r="AI213" i="1" s="1"/>
  <c r="Z212" i="1"/>
  <c r="Z243" i="1"/>
  <c r="AI248" i="1" a="1"/>
  <c r="AI248" i="1" s="1"/>
  <c r="Z247" i="1"/>
  <c r="AI58" i="1" a="1"/>
  <c r="AI58" i="1" s="1"/>
  <c r="Z57" i="1"/>
  <c r="AI66" i="1" a="1"/>
  <c r="AI66" i="1" s="1"/>
  <c r="Z65" i="1"/>
  <c r="AI206" i="1" a="1"/>
  <c r="AI206" i="1" s="1"/>
  <c r="Z205" i="1"/>
  <c r="AI221" i="1" a="1"/>
  <c r="AI221" i="1" s="1"/>
  <c r="Z220" i="1"/>
  <c r="AI211" i="1" a="1"/>
  <c r="AI211" i="1" s="1"/>
  <c r="Z210" i="1"/>
  <c r="AI16" i="1" a="1"/>
  <c r="AI16" i="1" s="1"/>
  <c r="Z15" i="1"/>
  <c r="AI86" i="1" a="1"/>
  <c r="AI86" i="1" s="1"/>
  <c r="Z85" i="1"/>
  <c r="AI74" i="1" a="1"/>
  <c r="AI74" i="1" s="1"/>
  <c r="Z73" i="1"/>
  <c r="AI108" i="1" a="1"/>
  <c r="AI108" i="1" s="1"/>
  <c r="Z107" i="1"/>
  <c r="AI210" i="1" a="1"/>
  <c r="AI210" i="1" s="1"/>
  <c r="Z209" i="1"/>
  <c r="AI119" i="1" a="1"/>
  <c r="AI119" i="1" s="1"/>
  <c r="Z118" i="1"/>
  <c r="AI249" i="1" a="1"/>
  <c r="AI249" i="1" s="1"/>
  <c r="Z248" i="1"/>
  <c r="AI79" i="1" a="1"/>
  <c r="AI79" i="1" s="1"/>
  <c r="Z78" i="1"/>
  <c r="AI11" i="1" a="1"/>
  <c r="AI11" i="1" s="1"/>
  <c r="Z10" i="1"/>
  <c r="AI188" i="1" a="1"/>
  <c r="AI188" i="1" s="1"/>
  <c r="Z187" i="1"/>
  <c r="AI19" i="1" a="1"/>
  <c r="AI19" i="1" s="1"/>
  <c r="Z18" i="1"/>
  <c r="AI46" i="1" a="1"/>
  <c r="AI46" i="1" s="1"/>
  <c r="AI62" i="1" a="1"/>
  <c r="AI62" i="1" s="1"/>
  <c r="Z61" i="1"/>
  <c r="AI240" i="1" a="1"/>
  <c r="AI240" i="1" s="1"/>
  <c r="Z239" i="1"/>
  <c r="AI90" i="1" a="1"/>
  <c r="AI90" i="1" s="1"/>
  <c r="Z89" i="1"/>
  <c r="AI218" i="1" a="1"/>
  <c r="AI218" i="1" s="1"/>
  <c r="Z217" i="1"/>
  <c r="Z278" i="1"/>
  <c r="AI114" i="1" a="1"/>
  <c r="AI114" i="1" s="1"/>
  <c r="Z113" i="1"/>
  <c r="AI140" i="1" a="1"/>
  <c r="AI140" i="1" s="1"/>
  <c r="Z139" i="1"/>
  <c r="AI116" i="1" a="1"/>
  <c r="AI116" i="1" s="1"/>
  <c r="Z115" i="1"/>
  <c r="Z105" i="1"/>
  <c r="AI50" i="1" a="1"/>
  <c r="AI50" i="1" s="1"/>
  <c r="AI182" i="1" a="1"/>
  <c r="AI182" i="1" s="1"/>
  <c r="Z181" i="1"/>
  <c r="AI24" i="1" a="1"/>
  <c r="AI24" i="1" s="1"/>
  <c r="Z23" i="1"/>
  <c r="AI12" i="1" a="1"/>
  <c r="AI12" i="1" s="1"/>
  <c r="Z11" i="1"/>
  <c r="AI228" i="1" a="1"/>
  <c r="AI228" i="1" s="1"/>
  <c r="Z227" i="1"/>
  <c r="AI21" i="1" a="1"/>
  <c r="AI21" i="1" s="1"/>
  <c r="Z20" i="1"/>
  <c r="AI35" i="1" a="1"/>
  <c r="AI35" i="1" s="1"/>
  <c r="Z34" i="1"/>
  <c r="AI144" i="1" a="1"/>
  <c r="AI144" i="1" s="1"/>
  <c r="Z143" i="1"/>
  <c r="AI191" i="1" a="1"/>
  <c r="AI191" i="1" s="1"/>
  <c r="Z190" i="1"/>
  <c r="AI54" i="1" a="1"/>
  <c r="AI54" i="1" s="1"/>
  <c r="Z53" i="1"/>
  <c r="AI134" i="1" a="1"/>
  <c r="AI134" i="1" s="1"/>
  <c r="Z133" i="1"/>
  <c r="AI103" i="1" a="1"/>
  <c r="AI103" i="1" s="1"/>
  <c r="Z102" i="1"/>
  <c r="AI173" i="1" a="1"/>
  <c r="AI173" i="1" s="1"/>
  <c r="Z172" i="1"/>
  <c r="AI101" i="1" a="1"/>
  <c r="AI101" i="1" s="1"/>
  <c r="Z100" i="1"/>
  <c r="AI7" i="1" a="1"/>
  <c r="AI7" i="1" s="1"/>
  <c r="Z6" i="1"/>
  <c r="AI33" i="1" a="1"/>
  <c r="AI33" i="1" s="1"/>
  <c r="Z32" i="1"/>
  <c r="AI208" i="1" a="1"/>
  <c r="AI208" i="1" s="1"/>
  <c r="Z207" i="1"/>
  <c r="AI70" i="1" a="1"/>
  <c r="AI70" i="1" s="1"/>
  <c r="Z69" i="1"/>
  <c r="AI280" i="1" a="1"/>
  <c r="AI280" i="1" s="1"/>
  <c r="Z279" i="1"/>
  <c r="AI95" i="1" a="1"/>
  <c r="AI95" i="1" s="1"/>
  <c r="Z94" i="1"/>
  <c r="AI146" i="1" a="1"/>
  <c r="AI146" i="1" s="1"/>
  <c r="Z145" i="1"/>
  <c r="AI186" i="1" a="1"/>
  <c r="AI186" i="1" s="1"/>
  <c r="Z185" i="1"/>
  <c r="AI117" i="1" a="1"/>
  <c r="AI117" i="1" s="1"/>
  <c r="Z116" i="1"/>
  <c r="AI28" i="1" a="1"/>
  <c r="AI28" i="1" s="1"/>
  <c r="Z27" i="1"/>
  <c r="AI52" i="1" a="1"/>
  <c r="AI52" i="1" s="1"/>
  <c r="Z51" i="1"/>
  <c r="AI224" i="1" a="1"/>
  <c r="AI224" i="1" s="1"/>
  <c r="Z223" i="1"/>
  <c r="Z83" i="1"/>
  <c r="AI238" i="1" a="1"/>
  <c r="AI238" i="1" s="1"/>
  <c r="Z237" i="1"/>
  <c r="AI150" i="1" a="1"/>
  <c r="AI150" i="1" s="1"/>
  <c r="Z149" i="1"/>
  <c r="AI201" i="1" a="1"/>
  <c r="AI201" i="1" s="1"/>
  <c r="Z200" i="1"/>
  <c r="AI235" i="1" a="1"/>
  <c r="AI235" i="1" s="1"/>
  <c r="Z234" i="1"/>
  <c r="AI223" i="1" a="1"/>
  <c r="AI223" i="1" s="1"/>
  <c r="Z222" i="1"/>
  <c r="AI48" i="1" a="1"/>
  <c r="AI48" i="1" s="1"/>
  <c r="AI68" i="1" a="1"/>
  <c r="AI68" i="1" s="1"/>
  <c r="Z67" i="1"/>
  <c r="AI93" i="1" a="1"/>
  <c r="AI93" i="1" s="1"/>
  <c r="Z92" i="1"/>
  <c r="AI43" i="1" a="1"/>
  <c r="AI43" i="1" s="1"/>
  <c r="Z42" i="1"/>
  <c r="AI125" i="1" a="1"/>
  <c r="AI125" i="1" s="1"/>
  <c r="Z124" i="1"/>
  <c r="Z188" i="1"/>
  <c r="AI230" i="1" a="1"/>
  <c r="AI230" i="1" s="1"/>
  <c r="Z229" i="1"/>
  <c r="AI64" i="1" a="1"/>
  <c r="AI64" i="1" s="1"/>
  <c r="Z63" i="1"/>
  <c r="AI179" i="1" a="1"/>
  <c r="AI179" i="1" s="1"/>
  <c r="Z178" i="1"/>
  <c r="AI109" i="1" a="1"/>
  <c r="AI109" i="1" s="1"/>
  <c r="Z108" i="1"/>
  <c r="AI60" i="1" a="1"/>
  <c r="AI60" i="1" s="1"/>
  <c r="Z59" i="1"/>
  <c r="AI120" i="1" a="1"/>
  <c r="AI120" i="1" s="1"/>
  <c r="Z119" i="1"/>
  <c r="AI99" i="1" a="1"/>
  <c r="AI99" i="1" s="1"/>
  <c r="Z98" i="1"/>
  <c r="Z74" i="1"/>
  <c r="AI4" i="1" a="1"/>
  <c r="AI4" i="1" s="1"/>
  <c r="Z3" i="1"/>
  <c r="AI147" i="1" a="1"/>
  <c r="AI147" i="1" s="1"/>
  <c r="Z146" i="1"/>
  <c r="AI31" i="1" a="1"/>
  <c r="AI31" i="1" s="1"/>
  <c r="Z30" i="1"/>
  <c r="AI40" i="1" a="1"/>
  <c r="AI40" i="1" s="1"/>
  <c r="Z39" i="1"/>
  <c r="AI80" i="1" a="1"/>
  <c r="AI80" i="1" s="1"/>
  <c r="Z79" i="1"/>
  <c r="AI136" i="1" a="1"/>
  <c r="AI136" i="1" s="1"/>
  <c r="Z135" i="1"/>
  <c r="AI195" i="1" a="1"/>
  <c r="AI195" i="1" s="1"/>
  <c r="Z194" i="1"/>
  <c r="Z201" i="1"/>
  <c r="T163" i="1"/>
  <c r="H213" i="6" s="1" a="1"/>
  <c r="H213" i="6" s="1"/>
  <c r="AI189" i="1" a="1"/>
  <c r="AI189" i="1" s="1"/>
  <c r="AI2" i="1" a="1"/>
  <c r="AI2" i="1" s="1"/>
  <c r="AI23" i="1" a="1"/>
  <c r="AI23" i="1" s="1"/>
  <c r="Z2" i="1"/>
  <c r="H29" i="6" l="1" a="1"/>
  <c r="H29" i="6" s="1"/>
  <c r="G29" i="6" a="1"/>
  <c r="G29" i="6" s="1"/>
  <c r="G104" i="6" a="1"/>
  <c r="G104" i="6" s="1"/>
  <c r="H104" i="6" a="1"/>
  <c r="H104" i="6" s="1"/>
  <c r="H166" i="6" a="1"/>
  <c r="H166" i="6" s="1"/>
  <c r="G149" i="6" a="1"/>
  <c r="G149" i="6" s="1"/>
  <c r="H88" i="6" a="1"/>
  <c r="H88" i="6" s="1"/>
  <c r="G166" i="6" a="1"/>
  <c r="G166" i="6" s="1"/>
  <c r="H165" i="6" a="1"/>
  <c r="H165" i="6" s="1"/>
  <c r="G165" i="6" a="1"/>
  <c r="G165" i="6" s="1"/>
  <c r="G53" i="6" a="1"/>
  <c r="G53" i="6" s="1"/>
  <c r="H53" i="6" a="1"/>
  <c r="H53" i="6" s="1"/>
  <c r="H149" i="6" a="1"/>
  <c r="H149" i="6" s="1"/>
  <c r="H91" i="6" a="1"/>
  <c r="H91" i="6" s="1"/>
  <c r="G91" i="6" a="1"/>
  <c r="G91" i="6" s="1"/>
  <c r="G88" i="6" a="1"/>
  <c r="G88" i="6" s="1"/>
  <c r="H87" i="6" a="1"/>
  <c r="H87" i="6" s="1"/>
  <c r="G87" i="6" a="1"/>
  <c r="G87" i="6" s="1"/>
  <c r="H175" i="6" a="1"/>
  <c r="H175" i="6" s="1"/>
  <c r="G175" i="6" a="1"/>
  <c r="G175" i="6" s="1"/>
  <c r="H71" i="6" a="1"/>
  <c r="H71" i="6" s="1"/>
  <c r="H154" i="6" a="1"/>
  <c r="H154" i="6" s="1"/>
  <c r="H160" i="6" a="1"/>
  <c r="H160" i="6" s="1"/>
  <c r="G160" i="6" a="1"/>
  <c r="G160" i="6" s="1"/>
  <c r="H37" i="6" a="1"/>
  <c r="H37" i="6" s="1"/>
  <c r="G37" i="6" a="1"/>
  <c r="G37" i="6" s="1"/>
  <c r="H151" i="6" a="1"/>
  <c r="H151" i="6" s="1"/>
  <c r="G151" i="6" a="1"/>
  <c r="G151" i="6" s="1"/>
  <c r="H43" i="6" a="1"/>
  <c r="H43" i="6" s="1"/>
  <c r="G125" i="6" a="1"/>
  <c r="G125" i="6" s="1"/>
  <c r="H123" i="6" a="1"/>
  <c r="H123" i="6" s="1"/>
  <c r="G120" i="6" a="1"/>
  <c r="G120" i="6" s="1"/>
  <c r="H55" i="6" a="1"/>
  <c r="H55" i="6" s="1"/>
  <c r="G54" i="6" a="1"/>
  <c r="G54" i="6" s="1"/>
  <c r="H127" i="6" a="1"/>
  <c r="H127" i="6" s="1"/>
  <c r="G6" i="6" a="1"/>
  <c r="G6" i="6" s="1"/>
  <c r="G121" i="6" a="1"/>
  <c r="G121" i="6" s="1"/>
  <c r="H126" i="6" a="1"/>
  <c r="H126" i="6" s="1"/>
  <c r="H2" i="6" a="1"/>
  <c r="H2" i="6" s="1"/>
  <c r="H30" i="6" a="1"/>
  <c r="H30" i="6" s="1"/>
  <c r="G117" i="6" a="1"/>
  <c r="G117" i="6" s="1"/>
  <c r="G43" i="6" a="1"/>
  <c r="G43" i="6" s="1"/>
  <c r="H122" i="6" a="1"/>
  <c r="H122" i="6" s="1"/>
  <c r="H98" i="6" a="1"/>
  <c r="H98" i="6" s="1"/>
  <c r="G98" i="6" a="1"/>
  <c r="G98" i="6" s="1"/>
  <c r="H124" i="6" a="1"/>
  <c r="H124" i="6" s="1"/>
  <c r="G47" i="6" a="1"/>
  <c r="G47" i="6" s="1"/>
  <c r="H121" i="6" a="1"/>
  <c r="H121" i="6" s="1"/>
  <c r="G122" i="6" a="1"/>
  <c r="G122" i="6" s="1"/>
  <c r="G126" i="6" a="1"/>
  <c r="G126" i="6" s="1"/>
  <c r="G2" i="6" a="1"/>
  <c r="G2" i="6" s="1"/>
  <c r="G197" i="6" a="1"/>
  <c r="G197" i="6" s="1"/>
  <c r="G12" i="6" a="1"/>
  <c r="G12" i="6" s="1"/>
  <c r="H192" i="6" a="1"/>
  <c r="H192" i="6" s="1"/>
  <c r="H120" i="6" a="1"/>
  <c r="H120" i="6" s="1"/>
  <c r="H8" i="6" a="1"/>
  <c r="H8" i="6" s="1"/>
  <c r="H197" i="6" a="1"/>
  <c r="H197" i="6" s="1"/>
  <c r="H54" i="6" a="1"/>
  <c r="H54" i="6" s="1"/>
  <c r="G8" i="6" a="1"/>
  <c r="G8" i="6" s="1"/>
  <c r="G30" i="6" a="1"/>
  <c r="G30" i="6" s="1"/>
  <c r="G123" i="6" a="1"/>
  <c r="G123" i="6" s="1"/>
  <c r="H18" i="6" a="1"/>
  <c r="H18" i="6" s="1"/>
  <c r="G127" i="6" a="1"/>
  <c r="G127" i="6" s="1"/>
  <c r="H6" i="6" a="1"/>
  <c r="H6" i="6" s="1"/>
  <c r="G18" i="6" a="1"/>
  <c r="G18" i="6" s="1"/>
  <c r="G192" i="6" a="1"/>
  <c r="G192" i="6" s="1"/>
  <c r="G55" i="6" a="1"/>
  <c r="G55" i="6" s="1"/>
  <c r="H119" i="6" a="1"/>
  <c r="H119" i="6" s="1"/>
  <c r="H125" i="6" a="1"/>
  <c r="H125" i="6" s="1"/>
  <c r="G124" i="6" a="1"/>
  <c r="G124" i="6" s="1"/>
  <c r="G119" i="6" a="1"/>
  <c r="G119" i="6" s="1"/>
  <c r="H47" i="6" a="1"/>
  <c r="H47" i="6" s="1"/>
  <c r="H117" i="6" a="1"/>
  <c r="H117" i="6" s="1"/>
  <c r="I117" i="6" s="1"/>
  <c r="H12" i="6" a="1"/>
  <c r="H12" i="6" s="1"/>
  <c r="G46" i="6" a="1"/>
  <c r="G46" i="6" s="1"/>
  <c r="H208" i="6" a="1"/>
  <c r="H208" i="6" s="1"/>
  <c r="H46" i="6" a="1"/>
  <c r="H46" i="6" s="1"/>
  <c r="G208" i="6" a="1"/>
  <c r="G208" i="6" s="1"/>
  <c r="H32" i="6" a="1"/>
  <c r="H32" i="6" s="1"/>
  <c r="G32" i="6" a="1"/>
  <c r="G32" i="6" s="1"/>
  <c r="H33" i="6" a="1"/>
  <c r="H33" i="6" s="1"/>
  <c r="G33" i="6" a="1"/>
  <c r="G33" i="6" s="1"/>
  <c r="H48" i="6" a="1"/>
  <c r="H48" i="6" s="1"/>
  <c r="G48" i="6" a="1"/>
  <c r="G48" i="6" s="1"/>
  <c r="H3" i="6" a="1"/>
  <c r="H3" i="6" s="1"/>
  <c r="G3" i="6" a="1"/>
  <c r="G3" i="6" s="1"/>
  <c r="H111" i="6" a="1"/>
  <c r="H111" i="6" s="1"/>
  <c r="G111" i="6" a="1"/>
  <c r="G111" i="6" s="1"/>
  <c r="H206" i="6" a="1"/>
  <c r="H206" i="6" s="1"/>
  <c r="H97" i="6" a="1"/>
  <c r="H97" i="6" s="1"/>
  <c r="G206" i="6" a="1"/>
  <c r="G206" i="6" s="1"/>
  <c r="G97" i="6" a="1"/>
  <c r="G97" i="6" s="1"/>
  <c r="H161" i="6" a="1"/>
  <c r="H161" i="6" s="1"/>
  <c r="G161" i="6" a="1"/>
  <c r="G161" i="6" s="1"/>
  <c r="H143" i="6" a="1"/>
  <c r="H143" i="6" s="1"/>
  <c r="G143" i="6" a="1"/>
  <c r="G143" i="6" s="1"/>
  <c r="H101" i="6" a="1"/>
  <c r="H101" i="6" s="1"/>
  <c r="H204" i="6" a="1"/>
  <c r="H204" i="6" s="1"/>
  <c r="G203" i="6" a="1"/>
  <c r="G203" i="6" s="1"/>
  <c r="G101" i="6" a="1"/>
  <c r="G101" i="6" s="1"/>
  <c r="G159" i="6" a="1"/>
  <c r="G159" i="6" s="1"/>
  <c r="H23" i="6" a="1"/>
  <c r="H23" i="6" s="1"/>
  <c r="H34" i="6" a="1"/>
  <c r="H34" i="6" s="1"/>
  <c r="G204" i="6" a="1"/>
  <c r="G204" i="6" s="1"/>
  <c r="G34" i="6" a="1"/>
  <c r="G34" i="6" s="1"/>
  <c r="G23" i="6" a="1"/>
  <c r="G23" i="6" s="1"/>
  <c r="H100" i="6" a="1"/>
  <c r="H100" i="6" s="1"/>
  <c r="H203" i="6" a="1"/>
  <c r="H203" i="6" s="1"/>
  <c r="G100" i="6" a="1"/>
  <c r="G100" i="6" s="1"/>
  <c r="H159" i="6" a="1"/>
  <c r="H159" i="6" s="1"/>
  <c r="C13" i="7"/>
  <c r="H105" i="6" a="1"/>
  <c r="H105" i="6" s="1"/>
  <c r="G105" i="6" a="1"/>
  <c r="G105" i="6" s="1"/>
  <c r="H188" i="6" a="1"/>
  <c r="H188" i="6" s="1"/>
  <c r="G188" i="6" a="1"/>
  <c r="G188" i="6" s="1"/>
  <c r="H10" i="6" a="1"/>
  <c r="H10" i="6" s="1"/>
  <c r="G10" i="6" a="1"/>
  <c r="G10" i="6" s="1"/>
  <c r="H80" i="6" a="1"/>
  <c r="H80" i="6" s="1"/>
  <c r="G80" i="6" a="1"/>
  <c r="G80" i="6" s="1"/>
  <c r="H144" i="6" a="1"/>
  <c r="H144" i="6" s="1"/>
  <c r="G144" i="6" a="1"/>
  <c r="G144" i="6" s="1"/>
  <c r="D12" i="7"/>
  <c r="H16" i="6" a="1"/>
  <c r="H16" i="6" s="1"/>
  <c r="G16" i="6" a="1"/>
  <c r="G16" i="6" s="1"/>
  <c r="H148" i="6" a="1"/>
  <c r="H148" i="6" s="1"/>
  <c r="G148" i="6" a="1"/>
  <c r="G148" i="6" s="1"/>
  <c r="E11" i="7"/>
  <c r="H36" i="6" a="1"/>
  <c r="H36" i="6" s="1"/>
  <c r="G36" i="6" a="1"/>
  <c r="G36" i="6" s="1"/>
  <c r="H89" i="6" a="1"/>
  <c r="H89" i="6" s="1"/>
  <c r="G89" i="6" a="1"/>
  <c r="G89" i="6" s="1"/>
  <c r="H57" i="6" a="1"/>
  <c r="H57" i="6" s="1"/>
  <c r="G57" i="6" a="1"/>
  <c r="G57" i="6" s="1"/>
  <c r="G154" i="6" a="1"/>
  <c r="G154" i="6" s="1"/>
  <c r="I154" i="6" s="1"/>
  <c r="G71" i="6" a="1"/>
  <c r="G71" i="6" s="1"/>
  <c r="I71" i="6" s="1"/>
  <c r="H201" i="6" a="1"/>
  <c r="H201" i="6" s="1"/>
  <c r="G201" i="6" a="1"/>
  <c r="G201" i="6" s="1"/>
  <c r="H4" i="6" a="1"/>
  <c r="H4" i="6" s="1"/>
  <c r="G173" i="6" a="1"/>
  <c r="G173" i="6" s="1"/>
  <c r="G21" i="6" a="1"/>
  <c r="G21" i="6" s="1"/>
  <c r="H215" i="6" a="1"/>
  <c r="H215" i="6" s="1"/>
  <c r="G215" i="6" a="1"/>
  <c r="G215" i="6" s="1"/>
  <c r="H49" i="6" a="1"/>
  <c r="H49" i="6" s="1"/>
  <c r="G49" i="6" a="1"/>
  <c r="G49" i="6" s="1"/>
  <c r="H109" i="6" a="1"/>
  <c r="H109" i="6" s="1"/>
  <c r="G109" i="6" a="1"/>
  <c r="G109" i="6" s="1"/>
  <c r="H116" i="6" a="1"/>
  <c r="H116" i="6" s="1"/>
  <c r="G116" i="6" a="1"/>
  <c r="G116" i="6" s="1"/>
  <c r="G4" i="6" a="1"/>
  <c r="G4" i="6" s="1"/>
  <c r="H173" i="6" a="1"/>
  <c r="H173" i="6" s="1"/>
  <c r="H21" i="6" a="1"/>
  <c r="H21" i="6" s="1"/>
  <c r="H103" i="6" a="1"/>
  <c r="H103" i="6" s="1"/>
  <c r="G103" i="6" a="1"/>
  <c r="G103" i="6" s="1"/>
  <c r="H65" i="6" a="1"/>
  <c r="H65" i="6" s="1"/>
  <c r="G65" i="6" a="1"/>
  <c r="G65" i="6" s="1"/>
  <c r="H22" i="6" a="1"/>
  <c r="H22" i="6" s="1"/>
  <c r="G22" i="6" a="1"/>
  <c r="G22" i="6" s="1"/>
  <c r="H190" i="6" a="1"/>
  <c r="H190" i="6" s="1"/>
  <c r="G190" i="6" a="1"/>
  <c r="G190" i="6" s="1"/>
  <c r="H210" i="6" a="1"/>
  <c r="H210" i="6" s="1"/>
  <c r="G210" i="6" a="1"/>
  <c r="G210" i="6" s="1"/>
  <c r="G213" i="6" a="1"/>
  <c r="G213" i="6" s="1"/>
  <c r="I213" i="6" s="1"/>
  <c r="AI163" i="1" a="1"/>
  <c r="AI163" i="1" s="1"/>
  <c r="E2" i="7" s="1"/>
  <c r="G193" i="6" a="1"/>
  <c r="G193" i="6" s="1"/>
  <c r="G63" i="6" a="1"/>
  <c r="G63" i="6" s="1"/>
  <c r="H106" i="6" a="1"/>
  <c r="H106" i="6" s="1"/>
  <c r="G137" i="6" a="1"/>
  <c r="G137" i="6" s="1"/>
  <c r="H202" i="6" a="1"/>
  <c r="H202" i="6" s="1"/>
  <c r="H38" i="6" a="1"/>
  <c r="H38" i="6" s="1"/>
  <c r="G62" i="6" a="1"/>
  <c r="G62" i="6" s="1"/>
  <c r="H27" i="6" a="1"/>
  <c r="H27" i="6" s="1"/>
  <c r="G113" i="6" a="1"/>
  <c r="G113" i="6" s="1"/>
  <c r="G198" i="6" a="1"/>
  <c r="G198" i="6" s="1"/>
  <c r="H136" i="6" a="1"/>
  <c r="H136" i="6" s="1"/>
  <c r="H113" i="6" a="1"/>
  <c r="H113" i="6" s="1"/>
  <c r="H196" i="6" a="1"/>
  <c r="H196" i="6" s="1"/>
  <c r="G13" i="6" a="1"/>
  <c r="G13" i="6" s="1"/>
  <c r="H163" i="6" a="1"/>
  <c r="H163" i="6" s="1"/>
  <c r="G152" i="6" a="1"/>
  <c r="G152" i="6" s="1"/>
  <c r="G50" i="6" a="1"/>
  <c r="G50" i="6" s="1"/>
  <c r="G174" i="6" a="1"/>
  <c r="G174" i="6" s="1"/>
  <c r="H73" i="6" a="1"/>
  <c r="H73" i="6" s="1"/>
  <c r="H133" i="6" a="1"/>
  <c r="H133" i="6" s="1"/>
  <c r="G176" i="6" a="1"/>
  <c r="G176" i="6" s="1"/>
  <c r="G112" i="6" a="1"/>
  <c r="G112" i="6" s="1"/>
  <c r="H152" i="6" a="1"/>
  <c r="H152" i="6" s="1"/>
  <c r="G41" i="6" a="1"/>
  <c r="G41" i="6" s="1"/>
  <c r="H77" i="6" a="1"/>
  <c r="H77" i="6" s="1"/>
  <c r="H66" i="6" a="1"/>
  <c r="H66" i="6" s="1"/>
  <c r="H20" i="6" a="1"/>
  <c r="H20" i="6" s="1"/>
  <c r="G138" i="6" a="1"/>
  <c r="G138" i="6" s="1"/>
  <c r="G209" i="6" a="1"/>
  <c r="G209" i="6" s="1"/>
  <c r="H137" i="6" a="1"/>
  <c r="H137" i="6" s="1"/>
  <c r="H157" i="6" a="1"/>
  <c r="H157" i="6" s="1"/>
  <c r="H179" i="6" a="1"/>
  <c r="H179" i="6" s="1"/>
  <c r="G132" i="6" a="1"/>
  <c r="G132" i="6" s="1"/>
  <c r="G93" i="6" a="1"/>
  <c r="G93" i="6" s="1"/>
  <c r="G83" i="6" a="1"/>
  <c r="G83" i="6" s="1"/>
  <c r="G20" i="6" a="1"/>
  <c r="G20" i="6" s="1"/>
  <c r="H170" i="6" a="1"/>
  <c r="H170" i="6" s="1"/>
  <c r="G172" i="6" a="1"/>
  <c r="G172" i="6" s="1"/>
  <c r="H61" i="6" a="1"/>
  <c r="H61" i="6" s="1"/>
  <c r="H130" i="6" a="1"/>
  <c r="H130" i="6" s="1"/>
  <c r="H191" i="6" a="1"/>
  <c r="H191" i="6" s="1"/>
  <c r="G191" i="6" a="1"/>
  <c r="G191" i="6" s="1"/>
  <c r="G147" i="6" a="1"/>
  <c r="G147" i="6" s="1"/>
  <c r="G99" i="6" a="1"/>
  <c r="G99" i="6" s="1"/>
  <c r="H177" i="6" a="1"/>
  <c r="H177" i="6" s="1"/>
  <c r="H207" i="6" a="1"/>
  <c r="H207" i="6" s="1"/>
  <c r="H74" i="6" a="1"/>
  <c r="H74" i="6" s="1"/>
  <c r="G155" i="6" a="1"/>
  <c r="G155" i="6" s="1"/>
  <c r="G133" i="6" a="1"/>
  <c r="G133" i="6" s="1"/>
  <c r="G73" i="6" a="1"/>
  <c r="G73" i="6" s="1"/>
  <c r="G114" i="6" a="1"/>
  <c r="G114" i="6" s="1"/>
  <c r="H90" i="6" a="1"/>
  <c r="H90" i="6" s="1"/>
  <c r="H212" i="6" a="1"/>
  <c r="H212" i="6" s="1"/>
  <c r="H110" i="6" a="1"/>
  <c r="H110" i="6" s="1"/>
  <c r="G28" i="6" a="1"/>
  <c r="G28" i="6" s="1"/>
  <c r="G136" i="6" a="1"/>
  <c r="G136" i="6" s="1"/>
  <c r="G214" i="6" a="1"/>
  <c r="G214" i="6" s="1"/>
  <c r="G169" i="6" a="1"/>
  <c r="G169" i="6" s="1"/>
  <c r="H24" i="6" a="1"/>
  <c r="H24" i="6" s="1"/>
  <c r="H75" i="6" a="1"/>
  <c r="H75" i="6" s="1"/>
  <c r="H25" i="6" a="1"/>
  <c r="H25" i="6" s="1"/>
  <c r="H141" i="6" a="1"/>
  <c r="H141" i="6" s="1"/>
  <c r="H217" i="6" a="1"/>
  <c r="H217" i="6" s="1"/>
  <c r="G200" i="6" a="1"/>
  <c r="G200" i="6" s="1"/>
  <c r="G11" i="6" a="1"/>
  <c r="G11" i="6" s="1"/>
  <c r="G81" i="6" a="1"/>
  <c r="G81" i="6" s="1"/>
  <c r="G130" i="6" a="1"/>
  <c r="G130" i="6" s="1"/>
  <c r="G39" i="6" a="1"/>
  <c r="G39" i="6" s="1"/>
  <c r="H139" i="6" a="1"/>
  <c r="H139" i="6" s="1"/>
  <c r="G141" i="6" a="1"/>
  <c r="G141" i="6" s="1"/>
  <c r="H50" i="6" a="1"/>
  <c r="H50" i="6" s="1"/>
  <c r="H200" i="6" a="1"/>
  <c r="H200" i="6" s="1"/>
  <c r="G92" i="6" a="1"/>
  <c r="G92" i="6" s="1"/>
  <c r="G184" i="6" a="1"/>
  <c r="G184" i="6" s="1"/>
  <c r="G7" i="6" a="1"/>
  <c r="G7" i="6" s="1"/>
  <c r="H205" i="6" a="1"/>
  <c r="H205" i="6" s="1"/>
  <c r="H93" i="6" a="1"/>
  <c r="H93" i="6" s="1"/>
  <c r="H95" i="6" a="1"/>
  <c r="H95" i="6" s="1"/>
  <c r="H135" i="6" a="1"/>
  <c r="H135" i="6" s="1"/>
  <c r="H44" i="6" a="1"/>
  <c r="H44" i="6" s="1"/>
  <c r="G181" i="6" a="1"/>
  <c r="G181" i="6" s="1"/>
  <c r="H82" i="6" a="1"/>
  <c r="H82" i="6" s="1"/>
  <c r="H76" i="6" a="1"/>
  <c r="H76" i="6" s="1"/>
  <c r="G108" i="6" a="1"/>
  <c r="G108" i="6" s="1"/>
  <c r="H9" i="6" a="1"/>
  <c r="H9" i="6" s="1"/>
  <c r="G26" i="6" a="1"/>
  <c r="G26" i="6" s="1"/>
  <c r="G35" i="6" a="1"/>
  <c r="G35" i="6" s="1"/>
  <c r="H118" i="6" a="1"/>
  <c r="H118" i="6" s="1"/>
  <c r="H63" i="6" a="1"/>
  <c r="H63" i="6" s="1"/>
  <c r="G72" i="6" a="1"/>
  <c r="G72" i="6" s="1"/>
  <c r="G177" i="6" a="1"/>
  <c r="G177" i="6" s="1"/>
  <c r="G102" i="6" a="1"/>
  <c r="G102" i="6" s="1"/>
  <c r="H58" i="6" a="1"/>
  <c r="H58" i="6" s="1"/>
  <c r="H35" i="6" a="1"/>
  <c r="H35" i="6" s="1"/>
  <c r="G60" i="6" a="1"/>
  <c r="G60" i="6" s="1"/>
  <c r="H193" i="6" a="1"/>
  <c r="H193" i="6" s="1"/>
  <c r="G95" i="6" a="1"/>
  <c r="G95" i="6" s="1"/>
  <c r="H134" i="6" a="1"/>
  <c r="H134" i="6" s="1"/>
  <c r="G186" i="6" a="1"/>
  <c r="G186" i="6" s="1"/>
  <c r="H78" i="6" a="1"/>
  <c r="H78" i="6" s="1"/>
  <c r="H64" i="6" a="1"/>
  <c r="H64" i="6" s="1"/>
  <c r="G110" i="6" a="1"/>
  <c r="G110" i="6" s="1"/>
  <c r="G216" i="6" a="1"/>
  <c r="G216" i="6" s="1"/>
  <c r="H214" i="6" a="1"/>
  <c r="H214" i="6" s="1"/>
  <c r="H68" i="6" a="1"/>
  <c r="H68" i="6" s="1"/>
  <c r="G153" i="6" a="1"/>
  <c r="G153" i="6" s="1"/>
  <c r="G66" i="6" a="1"/>
  <c r="G66" i="6" s="1"/>
  <c r="G24" i="6" a="1"/>
  <c r="G24" i="6" s="1"/>
  <c r="H183" i="6" a="1"/>
  <c r="H183" i="6" s="1"/>
  <c r="H92" i="6" a="1"/>
  <c r="H92" i="6" s="1"/>
  <c r="G212" i="6" a="1"/>
  <c r="G212" i="6" s="1"/>
  <c r="G145" i="6" a="1"/>
  <c r="G145" i="6" s="1"/>
  <c r="G45" i="6" a="1"/>
  <c r="G45" i="6" s="1"/>
  <c r="G106" i="6" a="1"/>
  <c r="G106" i="6" s="1"/>
  <c r="H69" i="6" a="1"/>
  <c r="H69" i="6" s="1"/>
  <c r="G77" i="6" a="1"/>
  <c r="G77" i="6" s="1"/>
  <c r="H7" i="6" a="1"/>
  <c r="H7" i="6" s="1"/>
  <c r="G199" i="6" a="1"/>
  <c r="G199" i="6" s="1"/>
  <c r="G178" i="6" a="1"/>
  <c r="G178" i="6" s="1"/>
  <c r="G217" i="6" a="1"/>
  <c r="G217" i="6" s="1"/>
  <c r="H199" i="6" a="1"/>
  <c r="H199" i="6" s="1"/>
  <c r="H164" i="6" a="1"/>
  <c r="H164" i="6" s="1"/>
  <c r="G68" i="6" a="1"/>
  <c r="G68" i="6" s="1"/>
  <c r="G128" i="6" a="1"/>
  <c r="G128" i="6" s="1"/>
  <c r="G115" i="6" a="1"/>
  <c r="G115" i="6" s="1"/>
  <c r="H26" i="6" a="1"/>
  <c r="H26" i="6" s="1"/>
  <c r="H158" i="6" a="1"/>
  <c r="H158" i="6" s="1"/>
  <c r="G157" i="6" a="1"/>
  <c r="G157" i="6" s="1"/>
  <c r="H216" i="6" a="1"/>
  <c r="H216" i="6" s="1"/>
  <c r="G94" i="6" a="1"/>
  <c r="G94" i="6" s="1"/>
  <c r="G140" i="6" a="1"/>
  <c r="G140" i="6" s="1"/>
  <c r="G5" i="6" a="1"/>
  <c r="G5" i="6" s="1"/>
  <c r="G40" i="6" a="1"/>
  <c r="G40" i="6" s="1"/>
  <c r="G168" i="6" a="1"/>
  <c r="G168" i="6" s="1"/>
  <c r="H85" i="6" a="1"/>
  <c r="H85" i="6" s="1"/>
  <c r="H185" i="6" a="1"/>
  <c r="H185" i="6" s="1"/>
  <c r="G158" i="6" a="1"/>
  <c r="G158" i="6" s="1"/>
  <c r="G67" i="6" a="1"/>
  <c r="G67" i="6" s="1"/>
  <c r="G180" i="6" a="1"/>
  <c r="G180" i="6" s="1"/>
  <c r="G64" i="6" a="1"/>
  <c r="G64" i="6" s="1"/>
  <c r="H62" i="6" a="1"/>
  <c r="H62" i="6" s="1"/>
  <c r="G78" i="6" a="1"/>
  <c r="G78" i="6" s="1"/>
  <c r="G163" i="6" a="1"/>
  <c r="G163" i="6" s="1"/>
  <c r="G171" i="6" a="1"/>
  <c r="G171" i="6" s="1"/>
  <c r="G86" i="6" a="1"/>
  <c r="G86" i="6" s="1"/>
  <c r="G96" i="6" a="1"/>
  <c r="G96" i="6" s="1"/>
  <c r="G17" i="6" a="1"/>
  <c r="G17" i="6" s="1"/>
  <c r="G218" i="6" a="1"/>
  <c r="G218" i="6" s="1"/>
  <c r="G187" i="6" a="1"/>
  <c r="G187" i="6" s="1"/>
  <c r="H176" i="6" a="1"/>
  <c r="H176" i="6" s="1"/>
  <c r="H81" i="6" a="1"/>
  <c r="H81" i="6" s="1"/>
  <c r="G131" i="6" a="1"/>
  <c r="G131" i="6" s="1"/>
  <c r="G84" i="6" a="1"/>
  <c r="G84" i="6" s="1"/>
  <c r="H59" i="6" a="1"/>
  <c r="H59" i="6" s="1"/>
  <c r="H131" i="6" a="1"/>
  <c r="H131" i="6" s="1"/>
  <c r="H189" i="6" a="1"/>
  <c r="H189" i="6" s="1"/>
  <c r="H52" i="6" a="1"/>
  <c r="H52" i="6" s="1"/>
  <c r="G107" i="6" a="1"/>
  <c r="G107" i="6" s="1"/>
  <c r="G25" i="6" a="1"/>
  <c r="G25" i="6" s="1"/>
  <c r="H194" i="6" a="1"/>
  <c r="H194" i="6" s="1"/>
  <c r="H186" i="6" a="1"/>
  <c r="H186" i="6" s="1"/>
  <c r="H41" i="6" a="1"/>
  <c r="H41" i="6" s="1"/>
  <c r="H218" i="6" a="1"/>
  <c r="H218" i="6" s="1"/>
  <c r="H147" i="6" a="1"/>
  <c r="H147" i="6" s="1"/>
  <c r="H172" i="6" a="1"/>
  <c r="H172" i="6" s="1"/>
  <c r="G202" i="6" a="1"/>
  <c r="G202" i="6" s="1"/>
  <c r="G74" i="6" a="1"/>
  <c r="G74" i="6" s="1"/>
  <c r="H19" i="6" a="1"/>
  <c r="H19" i="6" s="1"/>
  <c r="G156" i="6" a="1"/>
  <c r="G156" i="6" s="1"/>
  <c r="H13" i="6" a="1"/>
  <c r="H13" i="6" s="1"/>
  <c r="H115" i="6" a="1"/>
  <c r="H115" i="6" s="1"/>
  <c r="H102" i="6" a="1"/>
  <c r="H102" i="6" s="1"/>
  <c r="H60" i="6" a="1"/>
  <c r="H60" i="6" s="1"/>
  <c r="G167" i="6" a="1"/>
  <c r="G167" i="6" s="1"/>
  <c r="G52" i="6" a="1"/>
  <c r="G52" i="6" s="1"/>
  <c r="G19" i="6" a="1"/>
  <c r="G19" i="6" s="1"/>
  <c r="H211" i="6" a="1"/>
  <c r="H211" i="6" s="1"/>
  <c r="H67" i="6" a="1"/>
  <c r="H67" i="6" s="1"/>
  <c r="H162" i="6" a="1"/>
  <c r="H162" i="6" s="1"/>
  <c r="G142" i="6" a="1"/>
  <c r="G142" i="6" s="1"/>
  <c r="H181" i="6" a="1"/>
  <c r="H181" i="6" s="1"/>
  <c r="G61" i="6" a="1"/>
  <c r="G61" i="6" s="1"/>
  <c r="H108" i="6" a="1"/>
  <c r="H108" i="6" s="1"/>
  <c r="G129" i="6" a="1"/>
  <c r="G129" i="6" s="1"/>
  <c r="H156" i="6" a="1"/>
  <c r="H156" i="6" s="1"/>
  <c r="G90" i="6" a="1"/>
  <c r="G90" i="6" s="1"/>
  <c r="H167" i="6" a="1"/>
  <c r="H167" i="6" s="1"/>
  <c r="G75" i="6" a="1"/>
  <c r="G75" i="6" s="1"/>
  <c r="G185" i="6" a="1"/>
  <c r="G185" i="6" s="1"/>
  <c r="G205" i="6" a="1"/>
  <c r="G205" i="6" s="1"/>
  <c r="H5" i="6" a="1"/>
  <c r="H5" i="6" s="1"/>
  <c r="H187" i="6" a="1"/>
  <c r="H187" i="6" s="1"/>
  <c r="G38" i="6" a="1"/>
  <c r="G38" i="6" s="1"/>
  <c r="H145" i="6" a="1"/>
  <c r="H145" i="6" s="1"/>
  <c r="H174" i="6" a="1"/>
  <c r="H174" i="6" s="1"/>
  <c r="G211" i="6" a="1"/>
  <c r="G211" i="6" s="1"/>
  <c r="H180" i="6" a="1"/>
  <c r="H180" i="6" s="1"/>
  <c r="G70" i="6" a="1"/>
  <c r="G70" i="6" s="1"/>
  <c r="G56" i="6" a="1"/>
  <c r="G56" i="6" s="1"/>
  <c r="H195" i="6" a="1"/>
  <c r="H195" i="6" s="1"/>
  <c r="G170" i="6" a="1"/>
  <c r="G170" i="6" s="1"/>
  <c r="H56" i="6" a="1"/>
  <c r="H56" i="6" s="1"/>
  <c r="H96" i="6" a="1"/>
  <c r="H96" i="6" s="1"/>
  <c r="H132" i="6" a="1"/>
  <c r="H132" i="6" s="1"/>
  <c r="H83" i="6" a="1"/>
  <c r="H83" i="6" s="1"/>
  <c r="H17" i="6" a="1"/>
  <c r="H17" i="6" s="1"/>
  <c r="G85" i="6" a="1"/>
  <c r="G85" i="6" s="1"/>
  <c r="H198" i="6" a="1"/>
  <c r="H198" i="6" s="1"/>
  <c r="G146" i="6" a="1"/>
  <c r="G146" i="6" s="1"/>
  <c r="H128" i="6" a="1"/>
  <c r="H128" i="6" s="1"/>
  <c r="H209" i="6" a="1"/>
  <c r="H209" i="6" s="1"/>
  <c r="G42" i="6" a="1"/>
  <c r="G42" i="6" s="1"/>
  <c r="H86" i="6" a="1"/>
  <c r="H86" i="6" s="1"/>
  <c r="H72" i="6" a="1"/>
  <c r="H72" i="6" s="1"/>
  <c r="H182" i="6" a="1"/>
  <c r="H182" i="6" s="1"/>
  <c r="G59" i="6" a="1"/>
  <c r="G59" i="6" s="1"/>
  <c r="H40" i="6" a="1"/>
  <c r="H40" i="6" s="1"/>
  <c r="G58" i="6" a="1"/>
  <c r="G58" i="6" s="1"/>
  <c r="G189" i="6" a="1"/>
  <c r="G189" i="6" s="1"/>
  <c r="H184" i="6" a="1"/>
  <c r="H184" i="6" s="1"/>
  <c r="G162" i="6" a="1"/>
  <c r="G162" i="6" s="1"/>
  <c r="H45" i="6" a="1"/>
  <c r="H45" i="6" s="1"/>
  <c r="H168" i="6" a="1"/>
  <c r="H168" i="6" s="1"/>
  <c r="G164" i="6" a="1"/>
  <c r="G164" i="6" s="1"/>
  <c r="G196" i="6" a="1"/>
  <c r="G196" i="6" s="1"/>
  <c r="G44" i="6" a="1"/>
  <c r="G44" i="6" s="1"/>
  <c r="G15" i="6" a="1"/>
  <c r="G15" i="6" s="1"/>
  <c r="G134" i="6" a="1"/>
  <c r="G134" i="6" s="1"/>
  <c r="G139" i="6" a="1"/>
  <c r="G139" i="6" s="1"/>
  <c r="G183" i="6" a="1"/>
  <c r="G183" i="6" s="1"/>
  <c r="H169" i="6" a="1"/>
  <c r="H169" i="6" s="1"/>
  <c r="H99" i="6" a="1"/>
  <c r="H99" i="6" s="1"/>
  <c r="H155" i="6" a="1"/>
  <c r="H155" i="6" s="1"/>
  <c r="H107" i="6" a="1"/>
  <c r="H107" i="6" s="1"/>
  <c r="G51" i="6" a="1"/>
  <c r="G51" i="6" s="1"/>
  <c r="H140" i="6" a="1"/>
  <c r="H140" i="6" s="1"/>
  <c r="H79" i="6" a="1"/>
  <c r="H79" i="6" s="1"/>
  <c r="G27" i="6" a="1"/>
  <c r="G27" i="6" s="1"/>
  <c r="H14" i="6" a="1"/>
  <c r="H14" i="6" s="1"/>
  <c r="G194" i="6" a="1"/>
  <c r="G194" i="6" s="1"/>
  <c r="G195" i="6" a="1"/>
  <c r="G195" i="6" s="1"/>
  <c r="H70" i="6" a="1"/>
  <c r="H70" i="6" s="1"/>
  <c r="H39" i="6" a="1"/>
  <c r="H39" i="6" s="1"/>
  <c r="H178" i="6" a="1"/>
  <c r="H178" i="6" s="1"/>
  <c r="G82" i="6" a="1"/>
  <c r="G82" i="6" s="1"/>
  <c r="H171" i="6" a="1"/>
  <c r="H171" i="6" s="1"/>
  <c r="H142" i="6" a="1"/>
  <c r="H142" i="6" s="1"/>
  <c r="G182" i="6" a="1"/>
  <c r="G182" i="6" s="1"/>
  <c r="H129" i="6" a="1"/>
  <c r="H129" i="6" s="1"/>
  <c r="G150" i="6" a="1"/>
  <c r="G150" i="6" s="1"/>
  <c r="H114" i="6" a="1"/>
  <c r="H114" i="6" s="1"/>
  <c r="H112" i="6" a="1"/>
  <c r="H112" i="6" s="1"/>
  <c r="H15" i="6" a="1"/>
  <c r="H15" i="6" s="1"/>
  <c r="G14" i="6" a="1"/>
  <c r="G14" i="6" s="1"/>
  <c r="G179" i="6" a="1"/>
  <c r="G179" i="6" s="1"/>
  <c r="G69" i="6" a="1"/>
  <c r="G69" i="6" s="1"/>
  <c r="G135" i="6" a="1"/>
  <c r="G135" i="6" s="1"/>
  <c r="H84" i="6" a="1"/>
  <c r="H84" i="6" s="1"/>
  <c r="G207" i="6" a="1"/>
  <c r="G207" i="6" s="1"/>
  <c r="H42" i="6" a="1"/>
  <c r="H42" i="6" s="1"/>
  <c r="G76" i="6" a="1"/>
  <c r="G76" i="6" s="1"/>
  <c r="H51" i="6" a="1"/>
  <c r="H51" i="6" s="1"/>
  <c r="G118" i="6" a="1"/>
  <c r="G118" i="6" s="1"/>
  <c r="H94" i="6" a="1"/>
  <c r="H94" i="6" s="1"/>
  <c r="H28" i="6" a="1"/>
  <c r="H28" i="6" s="1"/>
  <c r="G9" i="6" a="1"/>
  <c r="G9" i="6" s="1"/>
  <c r="G31" i="6" a="1"/>
  <c r="G31" i="6" s="1"/>
  <c r="H150" i="6" a="1"/>
  <c r="H150" i="6" s="1"/>
  <c r="H31" i="6" a="1"/>
  <c r="H31" i="6" s="1"/>
  <c r="G79" i="6" a="1"/>
  <c r="G79" i="6" s="1"/>
  <c r="H153" i="6" a="1"/>
  <c r="H153" i="6" s="1"/>
  <c r="H11" i="6" a="1"/>
  <c r="H11" i="6" s="1"/>
  <c r="H138" i="6" a="1"/>
  <c r="H138" i="6" s="1"/>
  <c r="H146" i="6" a="1"/>
  <c r="H146" i="6" s="1"/>
  <c r="E4" i="7"/>
  <c r="E9" i="7"/>
  <c r="E5" i="7"/>
  <c r="D7" i="7"/>
  <c r="E12" i="7"/>
  <c r="C3" i="7"/>
  <c r="E10" i="7"/>
  <c r="D5" i="7"/>
  <c r="C8" i="7"/>
  <c r="D9" i="7"/>
  <c r="E13" i="7"/>
  <c r="D4" i="7"/>
  <c r="D13" i="7"/>
  <c r="D10" i="7"/>
  <c r="E3" i="7"/>
  <c r="C10" i="7"/>
  <c r="D3" i="7"/>
  <c r="C7" i="7"/>
  <c r="E7" i="7"/>
  <c r="C5" i="7"/>
  <c r="D11" i="7"/>
  <c r="C11" i="7"/>
  <c r="D6" i="7"/>
  <c r="E6" i="7"/>
  <c r="C6" i="7"/>
  <c r="C12" i="7"/>
  <c r="C9" i="7"/>
  <c r="E8" i="7"/>
  <c r="C4" i="7"/>
  <c r="D8" i="7"/>
  <c r="I29" i="6" l="1"/>
  <c r="I104" i="6"/>
  <c r="I149" i="6"/>
  <c r="I91" i="6"/>
  <c r="I88" i="6"/>
  <c r="I87" i="6"/>
  <c r="I53" i="6"/>
  <c r="I165" i="6"/>
  <c r="I166" i="6"/>
  <c r="I175" i="6"/>
  <c r="I37" i="6"/>
  <c r="I121" i="6"/>
  <c r="I160" i="6"/>
  <c r="I123" i="6"/>
  <c r="I125" i="6"/>
  <c r="I47" i="6"/>
  <c r="I6" i="6"/>
  <c r="I12" i="6"/>
  <c r="I55" i="6"/>
  <c r="I120" i="6"/>
  <c r="I151" i="6"/>
  <c r="I98" i="6"/>
  <c r="I43" i="6"/>
  <c r="I119" i="6"/>
  <c r="I54" i="6"/>
  <c r="I197" i="6"/>
  <c r="I127" i="6"/>
  <c r="I18" i="6"/>
  <c r="I124" i="6"/>
  <c r="I122" i="6"/>
  <c r="I8" i="6"/>
  <c r="I30" i="6"/>
  <c r="I192" i="6"/>
  <c r="I2" i="6"/>
  <c r="I126" i="6"/>
  <c r="I208" i="6"/>
  <c r="I46" i="6"/>
  <c r="I48" i="6"/>
  <c r="I33" i="6"/>
  <c r="I32" i="6"/>
  <c r="I3" i="6"/>
  <c r="I111" i="6"/>
  <c r="I206" i="6"/>
  <c r="I143" i="6"/>
  <c r="I97" i="6"/>
  <c r="I159" i="6"/>
  <c r="I34" i="6"/>
  <c r="I23" i="6"/>
  <c r="I179" i="6"/>
  <c r="I204" i="6"/>
  <c r="I101" i="6"/>
  <c r="I161" i="6"/>
  <c r="I203" i="6"/>
  <c r="I100" i="6"/>
  <c r="I168" i="6"/>
  <c r="I105" i="6"/>
  <c r="I144" i="6"/>
  <c r="I10" i="6"/>
  <c r="I80" i="6"/>
  <c r="I188" i="6"/>
  <c r="C2" i="7"/>
  <c r="C14" i="7" s="1"/>
  <c r="I16" i="6"/>
  <c r="I148" i="6"/>
  <c r="I36" i="6"/>
  <c r="I89" i="6"/>
  <c r="I57" i="6"/>
  <c r="I201" i="6"/>
  <c r="I4" i="6"/>
  <c r="D2" i="7"/>
  <c r="I215" i="6"/>
  <c r="I116" i="6"/>
  <c r="I21" i="6"/>
  <c r="I173" i="6"/>
  <c r="I109" i="6"/>
  <c r="I49" i="6"/>
  <c r="I66" i="6"/>
  <c r="I190" i="6"/>
  <c r="I103" i="6"/>
  <c r="I22" i="6"/>
  <c r="I65" i="6"/>
  <c r="I174" i="6"/>
  <c r="I20" i="6"/>
  <c r="I64" i="6"/>
  <c r="I17" i="6"/>
  <c r="I44" i="6"/>
  <c r="I74" i="6"/>
  <c r="I115" i="6"/>
  <c r="I193" i="6"/>
  <c r="I128" i="6"/>
  <c r="I50" i="6"/>
  <c r="I90" i="6"/>
  <c r="I134" i="6"/>
  <c r="I112" i="6"/>
  <c r="I27" i="6"/>
  <c r="I41" i="6"/>
  <c r="I106" i="6"/>
  <c r="I210" i="6"/>
  <c r="I114" i="6"/>
  <c r="I132" i="6"/>
  <c r="I145" i="6"/>
  <c r="I169" i="6"/>
  <c r="I110" i="6"/>
  <c r="I76" i="6"/>
  <c r="I186" i="6"/>
  <c r="I212" i="6"/>
  <c r="I67" i="6"/>
  <c r="I9" i="6"/>
  <c r="I94" i="6"/>
  <c r="I83" i="6"/>
  <c r="I42" i="6"/>
  <c r="I167" i="6"/>
  <c r="I170" i="6"/>
  <c r="I176" i="6"/>
  <c r="I217" i="6"/>
  <c r="I136" i="6"/>
  <c r="I45" i="6"/>
  <c r="I200" i="6"/>
  <c r="I118" i="6"/>
  <c r="I7" i="6"/>
  <c r="I209" i="6"/>
  <c r="I113" i="6"/>
  <c r="I75" i="6"/>
  <c r="I99" i="6"/>
  <c r="I140" i="6"/>
  <c r="I51" i="6"/>
  <c r="I194" i="6"/>
  <c r="I77" i="6"/>
  <c r="I86" i="6"/>
  <c r="I196" i="6"/>
  <c r="I68" i="6"/>
  <c r="I205" i="6"/>
  <c r="I163" i="6"/>
  <c r="I214" i="6"/>
  <c r="I78" i="6"/>
  <c r="I182" i="6"/>
  <c r="I82" i="6"/>
  <c r="I202" i="6"/>
  <c r="I92" i="6"/>
  <c r="I102" i="6"/>
  <c r="I207" i="6"/>
  <c r="I157" i="6"/>
  <c r="I177" i="6"/>
  <c r="I164" i="6"/>
  <c r="I198" i="6"/>
  <c r="I183" i="6"/>
  <c r="I56" i="6"/>
  <c r="I13" i="6"/>
  <c r="I195" i="6"/>
  <c r="I178" i="6"/>
  <c r="I216" i="6"/>
  <c r="I96" i="6"/>
  <c r="I142" i="6"/>
  <c r="I59" i="6"/>
  <c r="I81" i="6"/>
  <c r="I19" i="6"/>
  <c r="I63" i="6"/>
  <c r="I31" i="6"/>
  <c r="I158" i="6"/>
  <c r="I93" i="6"/>
  <c r="I73" i="6"/>
  <c r="E14" i="7"/>
  <c r="F9" i="7"/>
  <c r="F12" i="7"/>
  <c r="F5" i="7"/>
  <c r="F4" i="7"/>
  <c r="F6" i="7"/>
  <c r="F8" i="7"/>
  <c r="F13" i="7"/>
  <c r="F7" i="7"/>
  <c r="F10" i="7"/>
  <c r="F3" i="7"/>
  <c r="F11" i="7"/>
  <c r="I172" i="6"/>
  <c r="I129" i="6"/>
  <c r="I60" i="6"/>
  <c r="I79" i="6"/>
  <c r="I52" i="6"/>
  <c r="I162" i="6"/>
  <c r="I61" i="6"/>
  <c r="I138" i="6"/>
  <c r="I40" i="6"/>
  <c r="I199" i="6"/>
  <c r="I180" i="6"/>
  <c r="I184" i="6"/>
  <c r="I39" i="6"/>
  <c r="I130" i="6"/>
  <c r="I24" i="6"/>
  <c r="I185" i="6"/>
  <c r="I155" i="6"/>
  <c r="I147" i="6"/>
  <c r="I141" i="6"/>
  <c r="I211" i="6"/>
  <c r="I25" i="6"/>
  <c r="I72" i="6"/>
  <c r="I69" i="6"/>
  <c r="I85" i="6"/>
  <c r="I191" i="6"/>
  <c r="I5" i="6"/>
  <c r="I153" i="6"/>
  <c r="I171" i="6"/>
  <c r="I14" i="6"/>
  <c r="I156" i="6"/>
  <c r="I108" i="6"/>
  <c r="I15" i="6"/>
  <c r="I11" i="6"/>
  <c r="I38" i="6"/>
  <c r="I150" i="6"/>
  <c r="I187" i="6"/>
  <c r="I181" i="6"/>
  <c r="I152" i="6"/>
  <c r="I218" i="6"/>
  <c r="I58" i="6"/>
  <c r="I146" i="6"/>
  <c r="I131" i="6"/>
  <c r="I84" i="6"/>
  <c r="I28" i="6"/>
  <c r="I139" i="6"/>
  <c r="I189" i="6"/>
  <c r="I95" i="6"/>
  <c r="I137" i="6"/>
  <c r="I62" i="6"/>
  <c r="I70" i="6"/>
  <c r="I133" i="6"/>
  <c r="I26" i="6"/>
  <c r="I35" i="6"/>
  <c r="I135" i="6"/>
  <c r="I107" i="6"/>
  <c r="F2" i="7" l="1"/>
  <c r="D14" i="7"/>
  <c r="F14"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<sst xmlns="http://schemas.openxmlformats.org/spreadsheetml/2006/main" count="4454" uniqueCount="1349">
  <si>
    <t>hp</t>
  </si>
  <si>
    <t>pokedex_number</t>
  </si>
  <si>
    <t>grass</t>
  </si>
  <si>
    <t>poison</t>
  </si>
  <si>
    <t>fire</t>
  </si>
  <si>
    <t>flying</t>
  </si>
  <si>
    <t>water</t>
  </si>
  <si>
    <t>bug</t>
  </si>
  <si>
    <t>normal</t>
  </si>
  <si>
    <t>dark</t>
  </si>
  <si>
    <t>Pikachu</t>
  </si>
  <si>
    <t>electric</t>
  </si>
  <si>
    <t>Raichu</t>
  </si>
  <si>
    <t>ground</t>
  </si>
  <si>
    <t>ice</t>
  </si>
  <si>
    <t>Clefairy</t>
  </si>
  <si>
    <t>fairy</t>
  </si>
  <si>
    <t>Clefable</t>
  </si>
  <si>
    <t>Vulpix</t>
  </si>
  <si>
    <t>Ninetales</t>
  </si>
  <si>
    <t>Zubat</t>
  </si>
  <si>
    <t>Golbat</t>
  </si>
  <si>
    <t>fighting</t>
  </si>
  <si>
    <t>Growlithe</t>
  </si>
  <si>
    <t>Arcanine</t>
  </si>
  <si>
    <t>Abra</t>
  </si>
  <si>
    <t>psychic</t>
  </si>
  <si>
    <t>Kadabra</t>
  </si>
  <si>
    <t>Alakazam</t>
  </si>
  <si>
    <t>Machop</t>
  </si>
  <si>
    <t>Machoke</t>
  </si>
  <si>
    <t>Machamp</t>
  </si>
  <si>
    <t>Geodude</t>
  </si>
  <si>
    <t>rock</t>
  </si>
  <si>
    <t>Graveler</t>
  </si>
  <si>
    <t>Golem</t>
  </si>
  <si>
    <t>Ponyta</t>
  </si>
  <si>
    <t>Rapidash</t>
  </si>
  <si>
    <t>Magnemite</t>
  </si>
  <si>
    <t>steel</t>
  </si>
  <si>
    <t>Magneton</t>
  </si>
  <si>
    <t>Gastly</t>
  </si>
  <si>
    <t>ghost</t>
  </si>
  <si>
    <t>Haunter</t>
  </si>
  <si>
    <t>Gengar</t>
  </si>
  <si>
    <t>Onix</t>
  </si>
  <si>
    <t>Hitmonlee</t>
  </si>
  <si>
    <t>Hitmonchan</t>
  </si>
  <si>
    <t>Lickitung</t>
  </si>
  <si>
    <t>Rhyhorn</t>
  </si>
  <si>
    <t>Rhydon</t>
  </si>
  <si>
    <t>Chansey</t>
  </si>
  <si>
    <t>Tangela</t>
  </si>
  <si>
    <t>Mr. Mime</t>
  </si>
  <si>
    <t>Electabuzz</t>
  </si>
  <si>
    <t>Magmar</t>
  </si>
  <si>
    <t>Magikarp</t>
  </si>
  <si>
    <t>Gyarados</t>
  </si>
  <si>
    <t>Eevee</t>
  </si>
  <si>
    <t>Vaporeon</t>
  </si>
  <si>
    <t>Jolteon</t>
  </si>
  <si>
    <t>Flareon</t>
  </si>
  <si>
    <t>Snorlax</t>
  </si>
  <si>
    <t>Articuno</t>
  </si>
  <si>
    <t>Zapdos</t>
  </si>
  <si>
    <t>Moltres</t>
  </si>
  <si>
    <t>Dratini</t>
  </si>
  <si>
    <t>dragon</t>
  </si>
  <si>
    <t>Dragonair</t>
  </si>
  <si>
    <t>Dragonite</t>
  </si>
  <si>
    <t>Crobat</t>
  </si>
  <si>
    <t>Pichu</t>
  </si>
  <si>
    <t>Cleffa</t>
  </si>
  <si>
    <t>Togepi</t>
  </si>
  <si>
    <t>Togetic</t>
  </si>
  <si>
    <t>Marill</t>
  </si>
  <si>
    <t>Azumarill</t>
  </si>
  <si>
    <t>Sudowoodo</t>
  </si>
  <si>
    <t>Aipom</t>
  </si>
  <si>
    <t>Yanma</t>
  </si>
  <si>
    <t>Wooper</t>
  </si>
  <si>
    <t>Quagsire</t>
  </si>
  <si>
    <t>Espeon</t>
  </si>
  <si>
    <t>Umbreon</t>
  </si>
  <si>
    <t>Murkrow</t>
  </si>
  <si>
    <t>Misdreavus</t>
  </si>
  <si>
    <t>Unown</t>
  </si>
  <si>
    <t>Gligar</t>
  </si>
  <si>
    <t>Steelix</t>
  </si>
  <si>
    <t>Heracross</t>
  </si>
  <si>
    <t>Sneasel</t>
  </si>
  <si>
    <t>Teddiursa</t>
  </si>
  <si>
    <t>Ursaring</t>
  </si>
  <si>
    <t>Swinub</t>
  </si>
  <si>
    <t>Piloswine</t>
  </si>
  <si>
    <t>Corsola</t>
  </si>
  <si>
    <t>Remoraid</t>
  </si>
  <si>
    <t>Octillery</t>
  </si>
  <si>
    <t>Mantine</t>
  </si>
  <si>
    <t>Houndour</t>
  </si>
  <si>
    <t>Houndoom</t>
  </si>
  <si>
    <t>Stantler</t>
  </si>
  <si>
    <t>Tyrogue</t>
  </si>
  <si>
    <t>Hitmontop</t>
  </si>
  <si>
    <t>Elekid</t>
  </si>
  <si>
    <t>Magby</t>
  </si>
  <si>
    <t>Blissey</t>
  </si>
  <si>
    <t>Larvitar</t>
  </si>
  <si>
    <t>Pupitar</t>
  </si>
  <si>
    <t>Tyranitar</t>
  </si>
  <si>
    <t>Celebi</t>
  </si>
  <si>
    <t>Wurmple</t>
  </si>
  <si>
    <t>Silcoon</t>
  </si>
  <si>
    <t>Beautifly</t>
  </si>
  <si>
    <t>Cascoon</t>
  </si>
  <si>
    <t>Dustox</t>
  </si>
  <si>
    <t>Ralts</t>
  </si>
  <si>
    <t>Kirlia</t>
  </si>
  <si>
    <t>Gardevoir</t>
  </si>
  <si>
    <t>Azurill</t>
  </si>
  <si>
    <t>Nosepass</t>
  </si>
  <si>
    <t>Meditite</t>
  </si>
  <si>
    <t>Medicham</t>
  </si>
  <si>
    <t>Roselia</t>
  </si>
  <si>
    <t>Swablu</t>
  </si>
  <si>
    <t>Altaria</t>
  </si>
  <si>
    <t>Feebas</t>
  </si>
  <si>
    <t>Milotic</t>
  </si>
  <si>
    <t>Duskull</t>
  </si>
  <si>
    <t>Dusclops</t>
  </si>
  <si>
    <t>Chimecho</t>
  </si>
  <si>
    <t>Absol</t>
  </si>
  <si>
    <t>Snorunt</t>
  </si>
  <si>
    <t>Glalie</t>
  </si>
  <si>
    <t>Spheal</t>
  </si>
  <si>
    <t>Sealeo</t>
  </si>
  <si>
    <t>Walrein</t>
  </si>
  <si>
    <t>Bagon</t>
  </si>
  <si>
    <t>Shelgon</t>
  </si>
  <si>
    <t>Salamence</t>
  </si>
  <si>
    <t>Regirock</t>
  </si>
  <si>
    <t>Regice</t>
  </si>
  <si>
    <t>Registeel</t>
  </si>
  <si>
    <t>Turtwig</t>
  </si>
  <si>
    <t>Grotle</t>
  </si>
  <si>
    <t>Torterra</t>
  </si>
  <si>
    <t>Chimchar</t>
  </si>
  <si>
    <t>Monferno</t>
  </si>
  <si>
    <t>Infernape</t>
  </si>
  <si>
    <t>Piplup</t>
  </si>
  <si>
    <t>Prinplup</t>
  </si>
  <si>
    <t>Empoleon</t>
  </si>
  <si>
    <t>Starly</t>
  </si>
  <si>
    <t>Staravia</t>
  </si>
  <si>
    <t>Staraptor</t>
  </si>
  <si>
    <t>Bidoof</t>
  </si>
  <si>
    <t>Bibarel</t>
  </si>
  <si>
    <t>Kricketot</t>
  </si>
  <si>
    <t>Kricketune</t>
  </si>
  <si>
    <t>Shinx</t>
  </si>
  <si>
    <t>Luxio</t>
  </si>
  <si>
    <t>Luxray</t>
  </si>
  <si>
    <t>Budew</t>
  </si>
  <si>
    <t>Roserade</t>
  </si>
  <si>
    <t>Cranidos</t>
  </si>
  <si>
    <t>Rampardos</t>
  </si>
  <si>
    <t>Shieldon</t>
  </si>
  <si>
    <t>Bastiodon</t>
  </si>
  <si>
    <t>Burmy</t>
  </si>
  <si>
    <t>Wormadam</t>
  </si>
  <si>
    <t>Mothim</t>
  </si>
  <si>
    <t>Combee</t>
  </si>
  <si>
    <t>Vespiquen</t>
  </si>
  <si>
    <t>Pachirisu</t>
  </si>
  <si>
    <t>Buizel</t>
  </si>
  <si>
    <t>Floatzel</t>
  </si>
  <si>
    <t>Cherubi</t>
  </si>
  <si>
    <t>Cherrim</t>
  </si>
  <si>
    <t>Ambipom</t>
  </si>
  <si>
    <t>Drifloon</t>
  </si>
  <si>
    <t>Drifblim</t>
  </si>
  <si>
    <t>Buneary</t>
  </si>
  <si>
    <t>Lopunny</t>
  </si>
  <si>
    <t>Mismagius</t>
  </si>
  <si>
    <t>Honchkrow</t>
  </si>
  <si>
    <t>Glameow</t>
  </si>
  <si>
    <t>Purugly</t>
  </si>
  <si>
    <t>Chingling</t>
  </si>
  <si>
    <t>Stunky</t>
  </si>
  <si>
    <t>Skuntank</t>
  </si>
  <si>
    <t>Bronzor</t>
  </si>
  <si>
    <t>Bronzong</t>
  </si>
  <si>
    <t>Bonsly</t>
  </si>
  <si>
    <t>Mime Jr.</t>
  </si>
  <si>
    <t>Happiny</t>
  </si>
  <si>
    <t>Chatot</t>
  </si>
  <si>
    <t>Spiritomb</t>
  </si>
  <si>
    <t>Gible</t>
  </si>
  <si>
    <t>Gabite</t>
  </si>
  <si>
    <t>Garchomp</t>
  </si>
  <si>
    <t>Munchlax</t>
  </si>
  <si>
    <t>Riolu</t>
  </si>
  <si>
    <t>Lucario</t>
  </si>
  <si>
    <t>Hippopotas</t>
  </si>
  <si>
    <t>Hippowdon</t>
  </si>
  <si>
    <t>Skorupi</t>
  </si>
  <si>
    <t>Drapion</t>
  </si>
  <si>
    <t>Croagunk</t>
  </si>
  <si>
    <t>Toxicroak</t>
  </si>
  <si>
    <t>Carnivine</t>
  </si>
  <si>
    <t>Finneon</t>
  </si>
  <si>
    <t>Lumineon</t>
  </si>
  <si>
    <t>Mantyke</t>
  </si>
  <si>
    <t>Snover</t>
  </si>
  <si>
    <t>Abomasnow</t>
  </si>
  <si>
    <t>Weavile</t>
  </si>
  <si>
    <t>Magnezone</t>
  </si>
  <si>
    <t>Lickilicky</t>
  </si>
  <si>
    <t>Rhyperior</t>
  </si>
  <si>
    <t>Tangrowth</t>
  </si>
  <si>
    <t>Electivire</t>
  </si>
  <si>
    <t>Magmortar</t>
  </si>
  <si>
    <t>Togekiss</t>
  </si>
  <si>
    <t>Yanmega</t>
  </si>
  <si>
    <t>Leafeon</t>
  </si>
  <si>
    <t>Glaceon</t>
  </si>
  <si>
    <t>Gliscor</t>
  </si>
  <si>
    <t>Mamoswine</t>
  </si>
  <si>
    <t>Gallade</t>
  </si>
  <si>
    <t>Probopass</t>
  </si>
  <si>
    <t>Dusknoir</t>
  </si>
  <si>
    <t>Froslass</t>
  </si>
  <si>
    <t>Rotom</t>
  </si>
  <si>
    <t>Uxie</t>
  </si>
  <si>
    <t>Mesprit</t>
  </si>
  <si>
    <t>Azelf</t>
  </si>
  <si>
    <t>Dialga</t>
  </si>
  <si>
    <t>Palkia</t>
  </si>
  <si>
    <t>Heatran</t>
  </si>
  <si>
    <t>Regigigas</t>
  </si>
  <si>
    <t>Giratina</t>
  </si>
  <si>
    <t>Cresselia</t>
  </si>
  <si>
    <t>Phione</t>
  </si>
  <si>
    <t>Manaphy</t>
  </si>
  <si>
    <t>Darkrai</t>
  </si>
  <si>
    <t>Shaymin</t>
  </si>
  <si>
    <t>Arceus</t>
  </si>
  <si>
    <t>Flame Pokemon</t>
  </si>
  <si>
    <t>Worm Pokemon</t>
  </si>
  <si>
    <t>Cocoon Pokemon</t>
  </si>
  <si>
    <t>Butterfly Pokemon</t>
  </si>
  <si>
    <t>Mouse Pokemon</t>
  </si>
  <si>
    <t>Fairy Pokemon</t>
  </si>
  <si>
    <t>Fox Pokemon</t>
  </si>
  <si>
    <t>Bat Pokemon</t>
  </si>
  <si>
    <t>Poison Moth Pokemon</t>
  </si>
  <si>
    <t>Puppy Pokemon</t>
  </si>
  <si>
    <t>Legendary Pokemon</t>
  </si>
  <si>
    <t>Psi Pokemon</t>
  </si>
  <si>
    <t>Superpower Pokemon</t>
  </si>
  <si>
    <t>Rock Pokemon</t>
  </si>
  <si>
    <t>Megaton Pokemon</t>
  </si>
  <si>
    <t>Fire Horse Pokemon</t>
  </si>
  <si>
    <t>Gas Pokemon</t>
  </si>
  <si>
    <t>Shadow Pokemon</t>
  </si>
  <si>
    <t>Rock Snake Pokemon</t>
  </si>
  <si>
    <t>Kicking Pokemon</t>
  </si>
  <si>
    <t>Punching Pokemon</t>
  </si>
  <si>
    <t>Dragon Pokemon</t>
  </si>
  <si>
    <t>Electric Pokemon</t>
  </si>
  <si>
    <t>Fish Pokemon</t>
  </si>
  <si>
    <t>Freeze Pokemon</t>
  </si>
  <si>
    <t>Tiny Mouse Pokemon</t>
  </si>
  <si>
    <t>Star Shape Pokemon</t>
  </si>
  <si>
    <t>Aquamouse Pokemon</t>
  </si>
  <si>
    <t>Aquarabbit Pokemon</t>
  </si>
  <si>
    <t>Water Fish Pokemon</t>
  </si>
  <si>
    <t>Symbol Pokemon</t>
  </si>
  <si>
    <t>Iron Snake Pokemon</t>
  </si>
  <si>
    <t>Singlehorn Pokemon</t>
  </si>
  <si>
    <t>Little Bear Pokemon</t>
  </si>
  <si>
    <t>Hibernator Pokemon</t>
  </si>
  <si>
    <t>Coral Pokemon</t>
  </si>
  <si>
    <t>Jet Pokemon</t>
  </si>
  <si>
    <t>Armor Pokemon</t>
  </si>
  <si>
    <t>Big Horn Pokemon</t>
  </si>
  <si>
    <t>Scuffle Pokemon</t>
  </si>
  <si>
    <t>Handstand Pokemon</t>
  </si>
  <si>
    <t>Rock Skin Pokemon</t>
  </si>
  <si>
    <t>Hard Shell Pokemon</t>
  </si>
  <si>
    <t>Time Travel Pokemon</t>
  </si>
  <si>
    <t>Polka Dot Pokemon</t>
  </si>
  <si>
    <t>Meditate Pokemon</t>
  </si>
  <si>
    <t>Cotton Bird Pokemon</t>
  </si>
  <si>
    <t>Humming Pokemon</t>
  </si>
  <si>
    <t>Tender Pokemon</t>
  </si>
  <si>
    <t>Rock Head Pokemon</t>
  </si>
  <si>
    <t>Endurance Pokemon</t>
  </si>
  <si>
    <t>Forest</t>
  </si>
  <si>
    <t>Cold</t>
  </si>
  <si>
    <t>Temperate</t>
  </si>
  <si>
    <t>Plains</t>
  </si>
  <si>
    <t>Warm</t>
  </si>
  <si>
    <t>Ocean</t>
  </si>
  <si>
    <t>Mountain</t>
  </si>
  <si>
    <t>type_1</t>
  </si>
  <si>
    <t>type_2</t>
  </si>
  <si>
    <t>pokedex_name</t>
  </si>
  <si>
    <t>atk</t>
  </si>
  <si>
    <t>def</t>
  </si>
  <si>
    <t>sp_atk</t>
  </si>
  <si>
    <t>sp_def</t>
  </si>
  <si>
    <t>spd</t>
  </si>
  <si>
    <t>Ruins</t>
  </si>
  <si>
    <t>description</t>
  </si>
  <si>
    <t>Shellos</t>
  </si>
  <si>
    <t>Gastrodon</t>
  </si>
  <si>
    <t>West Ocean Form</t>
  </si>
  <si>
    <t>East Ocean Form</t>
  </si>
  <si>
    <t>classification</t>
  </si>
  <si>
    <t>Tiny Leaf Pokémon</t>
  </si>
  <si>
    <t>Grove Pokémon</t>
  </si>
  <si>
    <t>Continent Pokémon</t>
  </si>
  <si>
    <t>Chimp Pokémon</t>
  </si>
  <si>
    <t>Playful Pokémon</t>
  </si>
  <si>
    <t>Flame Pokémon</t>
  </si>
  <si>
    <t>Penguin Pokémon</t>
  </si>
  <si>
    <t>Emperor Pokémon</t>
  </si>
  <si>
    <t>Starling Pokémon</t>
  </si>
  <si>
    <t>Predator Pokémon</t>
  </si>
  <si>
    <t>Plump Mouse Pokémon</t>
  </si>
  <si>
    <t>Beaver Pokémon</t>
  </si>
  <si>
    <t>Cricket Pokémon</t>
  </si>
  <si>
    <t>Flash Pokémon</t>
  </si>
  <si>
    <t>Spark Pokémon</t>
  </si>
  <si>
    <t>Gleam Eyes Pokémon</t>
  </si>
  <si>
    <t>Bud Pokémon</t>
  </si>
  <si>
    <t>Thorn Pokémon</t>
  </si>
  <si>
    <t>Bouquet Pokémon</t>
  </si>
  <si>
    <t>Head Butt Pokémon</t>
  </si>
  <si>
    <t>Shield Pokémon</t>
  </si>
  <si>
    <t>Bagworm Pokémon</t>
  </si>
  <si>
    <t>Moth Pokémon</t>
  </si>
  <si>
    <t>Tiny Bee Pokémon</t>
  </si>
  <si>
    <t>Beehive Pokémon</t>
  </si>
  <si>
    <t>EleSquirrel Pokémon</t>
  </si>
  <si>
    <t>Sea Weasel Pokémon</t>
  </si>
  <si>
    <t>Cherry Pokémon</t>
  </si>
  <si>
    <t>Blossom Pokémon</t>
  </si>
  <si>
    <t>Sea Slug Pokémon</t>
  </si>
  <si>
    <t>Long Tail Pokémon</t>
  </si>
  <si>
    <t>Balloon Pokémon</t>
  </si>
  <si>
    <t>Blimp Pokémon</t>
  </si>
  <si>
    <t>Rabbit Pokémon</t>
  </si>
  <si>
    <t>Screech Pokémon</t>
  </si>
  <si>
    <t>Magical Pokémon</t>
  </si>
  <si>
    <t>Darkness Pokémon</t>
  </si>
  <si>
    <t>Big Boss Pokémon</t>
  </si>
  <si>
    <t>Catty Pokémon</t>
  </si>
  <si>
    <t>Tiger Cat Pokémon</t>
  </si>
  <si>
    <t>Bell Pokémon</t>
  </si>
  <si>
    <t>Wind Chime Pokémon</t>
  </si>
  <si>
    <t>Skunk Pokémon</t>
  </si>
  <si>
    <t>Bronze Pokémon</t>
  </si>
  <si>
    <t>Bronze Bell Pokémon</t>
  </si>
  <si>
    <t>Bonsai Pokémon</t>
  </si>
  <si>
    <t>Imitation Pokémon</t>
  </si>
  <si>
    <t>Mime Pokémon</t>
  </si>
  <si>
    <t>Barrier Pokémon</t>
  </si>
  <si>
    <t>Playhouse Pokémon</t>
  </si>
  <si>
    <t>Egg Pokémon</t>
  </si>
  <si>
    <t>Happiness Pokémon</t>
  </si>
  <si>
    <t>Music Note Pokémon</t>
  </si>
  <si>
    <t>Forbidden Pokémon</t>
  </si>
  <si>
    <t>Land Shark Pokémon</t>
  </si>
  <si>
    <t>Cave Pokémon</t>
  </si>
  <si>
    <t>Mach Pokémon</t>
  </si>
  <si>
    <t>Big Eater Pokémon</t>
  </si>
  <si>
    <t>Sleeping Pokémon</t>
  </si>
  <si>
    <t>Emanation Pokémon</t>
  </si>
  <si>
    <t>Aura Pokémon</t>
  </si>
  <si>
    <t>Hippo Pokémon</t>
  </si>
  <si>
    <t>Heavyweight Pokémon</t>
  </si>
  <si>
    <t>Scorpion Pokémon</t>
  </si>
  <si>
    <t>Ogre Scorp Pokémon</t>
  </si>
  <si>
    <t>Toxic Mouth Pokémon</t>
  </si>
  <si>
    <t>Bug Catcher Pokémon</t>
  </si>
  <si>
    <t>Wing Fish Pokémon</t>
  </si>
  <si>
    <t>Neon Pokémon</t>
  </si>
  <si>
    <t>Kite Pokémon</t>
  </si>
  <si>
    <t>Frosted Tree Pokémon</t>
  </si>
  <si>
    <t>Sharp Claw Pokémon</t>
  </si>
  <si>
    <t>Magnet Pokémon</t>
  </si>
  <si>
    <t>Magnet Area Pokémon</t>
  </si>
  <si>
    <t>Licking Pokémon</t>
  </si>
  <si>
    <t>Spikes Pokémon</t>
  </si>
  <si>
    <t>Drill Pokémon</t>
  </si>
  <si>
    <t>Vine Pokémon</t>
  </si>
  <si>
    <t>Electric Pokémon</t>
  </si>
  <si>
    <t>Thunderbolt Pokémon</t>
  </si>
  <si>
    <t>Live Coal Pokémon</t>
  </si>
  <si>
    <t>Spitfire Pokémon</t>
  </si>
  <si>
    <t>Blast Pokémon</t>
  </si>
  <si>
    <t>Spike Ball Pokémon</t>
  </si>
  <si>
    <t>Jubilee Pokémon</t>
  </si>
  <si>
    <t>Clear Wing Pokémon</t>
  </si>
  <si>
    <t>Ogre Darner Pokémon</t>
  </si>
  <si>
    <t>Evolution Pokémon</t>
  </si>
  <si>
    <t>Bubble Jet Pokémon</t>
  </si>
  <si>
    <t>Lightning Pokémon</t>
  </si>
  <si>
    <t>Sun Pokémon</t>
  </si>
  <si>
    <t>Moonlight Pokémon</t>
  </si>
  <si>
    <t>Verdant Pokémon</t>
  </si>
  <si>
    <t>Fresh Snow Pokémon</t>
  </si>
  <si>
    <t>Flyscorpion Pokémon</t>
  </si>
  <si>
    <t>Fang Scorp Pokémon</t>
  </si>
  <si>
    <t>Pig Pokémon</t>
  </si>
  <si>
    <t>Swine Pokémon</t>
  </si>
  <si>
    <t>Twin Tusk Pokémon</t>
  </si>
  <si>
    <t>Feeling Pokémon</t>
  </si>
  <si>
    <t>Emotion Pokémon</t>
  </si>
  <si>
    <t>Embrace Pokémon</t>
  </si>
  <si>
    <t>Blade Pokémon</t>
  </si>
  <si>
    <t>Compass Pokémon</t>
  </si>
  <si>
    <t>Requiem Pokémon</t>
  </si>
  <si>
    <t>Beckon Pokémon</t>
  </si>
  <si>
    <t>Gripper Pokémon</t>
  </si>
  <si>
    <t>Snow Hat Pokémon</t>
  </si>
  <si>
    <t>Face Pokémon</t>
  </si>
  <si>
    <t>Snow Land Pokémon</t>
  </si>
  <si>
    <t>Dark Pokémon</t>
  </si>
  <si>
    <t>Disaster Pokémon</t>
  </si>
  <si>
    <t>Fish Pokémon</t>
  </si>
  <si>
    <t>Atrocious Pokémon</t>
  </si>
  <si>
    <t>Clap Pokémon</t>
  </si>
  <si>
    <t>Ball Roll Pokémon</t>
  </si>
  <si>
    <t>Ice Break Pokémon</t>
  </si>
  <si>
    <t>move_1</t>
  </si>
  <si>
    <t>move_2</t>
  </si>
  <si>
    <t>move_3</t>
  </si>
  <si>
    <t>evolve_cost</t>
  </si>
  <si>
    <t>West Ocean Shellos</t>
  </si>
  <si>
    <t>West Ocean Gastrodon</t>
  </si>
  <si>
    <t>East Ocean Shellos</t>
  </si>
  <si>
    <t>East Ocean Gastrodon</t>
  </si>
  <si>
    <t>internal_name</t>
  </si>
  <si>
    <t>evolve_into</t>
  </si>
  <si>
    <t>Iron Pokémon</t>
  </si>
  <si>
    <t>Iceberg Pokémon</t>
  </si>
  <si>
    <t>Rock Peak Pokémon</t>
  </si>
  <si>
    <t>Gratitude Pokémon</t>
  </si>
  <si>
    <t>Pitch-Black Pokémon</t>
  </si>
  <si>
    <t>Seafaring Pokémon</t>
  </si>
  <si>
    <t>Sea Drifter Pokémon</t>
  </si>
  <si>
    <t>Lunar Pokémon</t>
  </si>
  <si>
    <t>Renegade Pokémon</t>
  </si>
  <si>
    <t>Colossal Pokémon</t>
  </si>
  <si>
    <t>Lava Dome Pokémon</t>
  </si>
  <si>
    <t>Spatial Pokémon</t>
  </si>
  <si>
    <t>Temporal Pokémon</t>
  </si>
  <si>
    <t>is_legendary</t>
  </si>
  <si>
    <t>number_in_deck</t>
  </si>
  <si>
    <t>Porygon-Z</t>
  </si>
  <si>
    <t>Plasma Pokémon</t>
  </si>
  <si>
    <t>Wormadam/Mothim</t>
  </si>
  <si>
    <t>Gardevoir/Gallade</t>
  </si>
  <si>
    <t>Glalie/Froslass</t>
  </si>
  <si>
    <t>Cross Poison</t>
  </si>
  <si>
    <t>Double Hit</t>
  </si>
  <si>
    <t>female_grunt</t>
  </si>
  <si>
    <t>male_grunt</t>
  </si>
  <si>
    <t>trainer</t>
  </si>
  <si>
    <t>biome</t>
  </si>
  <si>
    <t>climate</t>
  </si>
  <si>
    <t>Chilling Acuity</t>
  </si>
  <si>
    <t>Blazing Valor</t>
  </si>
  <si>
    <t>jupiter</t>
  </si>
  <si>
    <t>mars</t>
  </si>
  <si>
    <t>saturn</t>
  </si>
  <si>
    <t>cyrus</t>
  </si>
  <si>
    <t>Spacial Rend</t>
  </si>
  <si>
    <t>Fire Blast</t>
  </si>
  <si>
    <t>Hydro Pump</t>
  </si>
  <si>
    <t>Flamethrower</t>
  </si>
  <si>
    <t>Volt Switch</t>
  </si>
  <si>
    <t>U-Turn</t>
  </si>
  <si>
    <t>Scald</t>
  </si>
  <si>
    <t>Earthquake</t>
  </si>
  <si>
    <t>Thunderbolt</t>
  </si>
  <si>
    <t>Thunder</t>
  </si>
  <si>
    <t>Giga Drain</t>
  </si>
  <si>
    <t>Blizzard</t>
  </si>
  <si>
    <t>Ice Beam</t>
  </si>
  <si>
    <t>Powder Snow</t>
  </si>
  <si>
    <t>Aura Sphere</t>
  </si>
  <si>
    <t>Close Combat</t>
  </si>
  <si>
    <t>Toxic</t>
  </si>
  <si>
    <t>Wing Attack</t>
  </si>
  <si>
    <t>Psychic</t>
  </si>
  <si>
    <t>Confusion</t>
  </si>
  <si>
    <t>Megahorn</t>
  </si>
  <si>
    <t>Stone Edge</t>
  </si>
  <si>
    <t>Rock Wrecker</t>
  </si>
  <si>
    <t>Rock Blast</t>
  </si>
  <si>
    <t>Hex</t>
  </si>
  <si>
    <t>Outrage</t>
  </si>
  <si>
    <t>Roar of Time</t>
  </si>
  <si>
    <t>Crunch</t>
  </si>
  <si>
    <t>Dark Void</t>
  </si>
  <si>
    <t>Iron Tail</t>
  </si>
  <si>
    <t>Flash Cannon</t>
  </si>
  <si>
    <t>Play Rough</t>
  </si>
  <si>
    <t>move_name</t>
  </si>
  <si>
    <t>Tackle</t>
  </si>
  <si>
    <t>Take Down</t>
  </si>
  <si>
    <t>?</t>
  </si>
  <si>
    <t>Head Smash</t>
  </si>
  <si>
    <t>Bug Bite</t>
  </si>
  <si>
    <t>Air Slash</t>
  </si>
  <si>
    <t>Attack Order</t>
  </si>
  <si>
    <t>Explosion</t>
  </si>
  <si>
    <t>Heal Bell</t>
  </si>
  <si>
    <t>Mimic</t>
  </si>
  <si>
    <t>Grass Whistle</t>
  </si>
  <si>
    <t>Night Slash</t>
  </si>
  <si>
    <t>Shadow Force</t>
  </si>
  <si>
    <t>Soft-Boiled</t>
  </si>
  <si>
    <t>Chatter</t>
  </si>
  <si>
    <t>Sand Tomb</t>
  </si>
  <si>
    <t>Body Slam</t>
  </si>
  <si>
    <t>Bite</t>
  </si>
  <si>
    <t>Revenge</t>
  </si>
  <si>
    <t>Octazooka</t>
  </si>
  <si>
    <t>Wood Hammer</t>
  </si>
  <si>
    <t>Slash</t>
  </si>
  <si>
    <t>Tri Attack</t>
  </si>
  <si>
    <t>Rollout</t>
  </si>
  <si>
    <t>Ancient Power</t>
  </si>
  <si>
    <t>Moonblast</t>
  </si>
  <si>
    <t>Magma Storm</t>
  </si>
  <si>
    <t>Crush Grip</t>
  </si>
  <si>
    <t>Seed Flare</t>
  </si>
  <si>
    <t>Hidden Power</t>
  </si>
  <si>
    <t>count</t>
  </si>
  <si>
    <t>Teleport</t>
  </si>
  <si>
    <t>Metronome</t>
  </si>
  <si>
    <t>Water Pulse</t>
  </si>
  <si>
    <t>Silcoon/Cascoon</t>
  </si>
  <si>
    <t>Perish Song</t>
  </si>
  <si>
    <t>move_4</t>
  </si>
  <si>
    <t>Judgement</t>
  </si>
  <si>
    <t>Poltergeist</t>
  </si>
  <si>
    <t>Confuse Ray</t>
  </si>
  <si>
    <t>typeless</t>
  </si>
  <si>
    <t>Space</t>
  </si>
  <si>
    <t>Splash</t>
  </si>
  <si>
    <t>Team Galactic Grunt</t>
  </si>
  <si>
    <t>Commander Jupiter</t>
  </si>
  <si>
    <t>Commander Mars</t>
  </si>
  <si>
    <t>Commander Saturn</t>
  </si>
  <si>
    <t>health</t>
  </si>
  <si>
    <t>initiative</t>
  </si>
  <si>
    <t>total</t>
  </si>
  <si>
    <t>grunt</t>
  </si>
  <si>
    <t>commander</t>
  </si>
  <si>
    <t>boss</t>
  </si>
  <si>
    <t>Heavy Slam</t>
  </si>
  <si>
    <t>Choose any learnable type of the user as the type of this attack.</t>
  </si>
  <si>
    <t>If 2+ status symbols are rolled: Inflict the Paralysed status on the target.</t>
  </si>
  <si>
    <t>If 2+ status symbols are rolled: Inflict the Burned status on the target.</t>
  </si>
  <si>
    <t>If 2+ status symbols are rolled: Inflict the Frozen status on the target.</t>
  </si>
  <si>
    <t>If 2+ status symbols are rolled: Inflict the Poisoned status on the target.</t>
  </si>
  <si>
    <t>Shadow Ball</t>
  </si>
  <si>
    <t>High Jump Kick</t>
  </si>
  <si>
    <t>Triple Kick</t>
  </si>
  <si>
    <t>Hitmonlee/Hitmonchan/Hitmontop</t>
  </si>
  <si>
    <t>Thrash</t>
  </si>
  <si>
    <t>Thunder Shock</t>
  </si>
  <si>
    <t>Shocking Verity</t>
  </si>
  <si>
    <t>Sheer Cold</t>
  </si>
  <si>
    <t>Sky Attack</t>
  </si>
  <si>
    <t>Zap Cannon</t>
  </si>
  <si>
    <t>is_starter</t>
  </si>
  <si>
    <t>min_total</t>
  </si>
  <si>
    <t>max_total</t>
  </si>
  <si>
    <t>Critical hits deal +1 damage.</t>
  </si>
  <si>
    <t>Status symbols deal +1 damage.</t>
  </si>
  <si>
    <t>Cyrus</t>
  </si>
  <si>
    <t>Consume an Apricorn from the bag of target. The target decides which one.</t>
  </si>
  <si>
    <t>Surf</t>
  </si>
  <si>
    <t>Force Palm</t>
  </si>
  <si>
    <t>variance</t>
  </si>
  <si>
    <t>Acrobatics</t>
  </si>
  <si>
    <t>Double-Edge</t>
  </si>
  <si>
    <t>Mystical Fire</t>
  </si>
  <si>
    <t>Headbutt</t>
  </si>
  <si>
    <t>Bulldoze</t>
  </si>
  <si>
    <t>Twister</t>
  </si>
  <si>
    <t>Dragon Rush</t>
  </si>
  <si>
    <t>encounter_tier</t>
  </si>
  <si>
    <t>_initiative</t>
  </si>
  <si>
    <t>_health</t>
  </si>
  <si>
    <t>If a status symbol is rolled: Inflict the Burned status on the target.</t>
  </si>
  <si>
    <t>If a status symbol is rolled: Inflict the Confused status on the target.</t>
  </si>
  <si>
    <t>If a status symbol is rolled: Inflict the Paralysed status on the target.</t>
  </si>
  <si>
    <t>If a status symbol is rolled: Inflict the Frozen status on the target.</t>
  </si>
  <si>
    <t>When the target is next attacked, add a regular hit to the roll.</t>
  </si>
  <si>
    <t>When the target is next attacked, add 2 critical hits to the roll.</t>
  </si>
  <si>
    <t>Knowledge Pokémon</t>
  </si>
  <si>
    <t>Willpower Pokémon</t>
  </si>
  <si>
    <t>Alpha Pokémon</t>
  </si>
  <si>
    <t>Virtual Pokémon</t>
  </si>
  <si>
    <t>Metal Claw</t>
  </si>
  <si>
    <t>Leaf Storm</t>
  </si>
  <si>
    <t>Ice Punch</t>
  </si>
  <si>
    <t>Bug Buzz</t>
  </si>
  <si>
    <t>Razor Leaf</t>
  </si>
  <si>
    <t>Water Gun</t>
  </si>
  <si>
    <t>When the user next attacks, add a status symbol to the roll.</t>
  </si>
  <si>
    <t>Memento</t>
  </si>
  <si>
    <t>weak</t>
  </si>
  <si>
    <t>moderate</t>
  </si>
  <si>
    <t>strong</t>
  </si>
  <si>
    <t>Hoothoot</t>
  </si>
  <si>
    <t>Noctowl</t>
  </si>
  <si>
    <t>Owl Pokémon</t>
  </si>
  <si>
    <t>Wingull</t>
  </si>
  <si>
    <t>Pelipper</t>
  </si>
  <si>
    <t>Seagull Pokémon</t>
  </si>
  <si>
    <t>Water Bird Pokémon</t>
  </si>
  <si>
    <t>Spit Up</t>
  </si>
  <si>
    <t>Girafarig</t>
  </si>
  <si>
    <t>Long Neck Pokémon</t>
  </si>
  <si>
    <t>Tentacool</t>
  </si>
  <si>
    <t>Tentacruel</t>
  </si>
  <si>
    <t>Jellyfish Pokémon</t>
  </si>
  <si>
    <t>Sludge Wave</t>
  </si>
  <si>
    <t>Barboach</t>
  </si>
  <si>
    <t>Whiscash</t>
  </si>
  <si>
    <t>Whiskers Pokémon</t>
  </si>
  <si>
    <t>The user heals for half the damage dealt, rounded down.</t>
  </si>
  <si>
    <t>Psyduck</t>
  </si>
  <si>
    <t>Golduck</t>
  </si>
  <si>
    <t>Duck Pokémon</t>
  </si>
  <si>
    <t>Goldeen</t>
  </si>
  <si>
    <t>Seaking</t>
  </si>
  <si>
    <t>Goldfish Pokémon</t>
  </si>
  <si>
    <t>Aurora Beam</t>
  </si>
  <si>
    <t>pokemon</t>
  </si>
  <si>
    <t>moves</t>
  </si>
  <si>
    <t>ratio</t>
  </si>
  <si>
    <t>Nuzzle</t>
  </si>
  <si>
    <t>If a status symbol is rolled: Inflict the Poisoned status on the target.</t>
  </si>
  <si>
    <t>Inflict the Confused status on the target.</t>
  </si>
  <si>
    <t>If a status symbol is rolled: Roll a status dice and inflict the result on the target.</t>
  </si>
  <si>
    <t>Flip Turn</t>
  </si>
  <si>
    <t>Select a move from the target and then attack the target with this move.</t>
  </si>
  <si>
    <t>Choose any type, this attack becomes the chosen type.</t>
  </si>
  <si>
    <t>Ice Fang</t>
  </si>
  <si>
    <t>Critical hits deal +1 damage but status symbols deal -1 damage.</t>
  </si>
  <si>
    <t>The user may switch out.</t>
  </si>
  <si>
    <t>Smack Down</t>
  </si>
  <si>
    <t>Add any critical hits or status symbols rolled on this attack to the next attack roll of the user.</t>
  </si>
  <si>
    <t>Hostile Pokémon</t>
  </si>
  <si>
    <t>Basculin</t>
  </si>
  <si>
    <t>Aqua Jet</t>
  </si>
  <si>
    <t>Scyther</t>
  </si>
  <si>
    <t>Mantis Pokémon</t>
  </si>
  <si>
    <t>Scizor</t>
  </si>
  <si>
    <t>Pincer Pokémon</t>
  </si>
  <si>
    <t>X-Scissor</t>
  </si>
  <si>
    <t>Bullet Punch</t>
  </si>
  <si>
    <t>Sylveon</t>
  </si>
  <si>
    <t>Intertwining Pokémon</t>
  </si>
  <si>
    <t>Vaporeon/Jolteon/Flareon/Espeon/Umbreon/Leafeon/Glaceon/Sylveon</t>
  </si>
  <si>
    <t>Voltorb</t>
  </si>
  <si>
    <t>Electrode</t>
  </si>
  <si>
    <t>Ball Pokémon</t>
  </si>
  <si>
    <t>Electro Ball</t>
  </si>
  <si>
    <t>Poison Fang</t>
  </si>
  <si>
    <t>Inflict the Poisoned status on the target.</t>
  </si>
  <si>
    <t>Zorua</t>
  </si>
  <si>
    <t>Zoroark</t>
  </si>
  <si>
    <t>Tricky Fox Pokémon</t>
  </si>
  <si>
    <t>Illusion Fox Pokémon</t>
  </si>
  <si>
    <t>Night Daze</t>
  </si>
  <si>
    <t>When the target next attacks, remove a regular hit from the roll.</t>
  </si>
  <si>
    <t>When the target next attacks, status symbols deal -1 damage.</t>
  </si>
  <si>
    <t>For each status symbol rolled: Inflict the Frozen status on the target or any Pokémon in the target party.</t>
  </si>
  <si>
    <t>For each status symbol rolled: Inflict the Paralysed status on the target or any Pokémon in the target party.</t>
  </si>
  <si>
    <t>For each status symbol rolled: Inflict the Burned status on the target or any Pokémon in the target party.</t>
  </si>
  <si>
    <t>Rufflet</t>
  </si>
  <si>
    <t>Braviary</t>
  </si>
  <si>
    <t>Eaglet Pokémon</t>
  </si>
  <si>
    <t>Valiant Pokémon</t>
  </si>
  <si>
    <t>Brave Bird</t>
  </si>
  <si>
    <t>Mimikyu</t>
  </si>
  <si>
    <t>Disguise Pokémon</t>
  </si>
  <si>
    <t>Disguise</t>
  </si>
  <si>
    <t>Wild Charge</t>
  </si>
  <si>
    <t>Inflict the Burned status on the target.</t>
  </si>
  <si>
    <t>Shuffle the Evolution Pokémon deck and then attack the target with the top move of the deck.</t>
  </si>
  <si>
    <t>Crystallizing Pokémon</t>
  </si>
  <si>
    <t>Cryogonal</t>
  </si>
  <si>
    <t>Ice Chunk Pokémon</t>
  </si>
  <si>
    <t>Bergmite</t>
  </si>
  <si>
    <t>Avalugg</t>
  </si>
  <si>
    <t>Avalanche</t>
  </si>
  <si>
    <t>Ominous Wind</t>
  </si>
  <si>
    <t>Fire Fang</t>
  </si>
  <si>
    <t>Flare Blitz</t>
  </si>
  <si>
    <t>Dhelmise</t>
  </si>
  <si>
    <t>Sea Creeper Pokémon</t>
  </si>
  <si>
    <t>Anchor Shot</t>
  </si>
  <si>
    <t>Encore</t>
  </si>
  <si>
    <t>The user may switch out. Status symbols deal -1 damage.</t>
  </si>
  <si>
    <t>The target may no longer switch out or flee the battle.</t>
  </si>
  <si>
    <t>Shell Trap</t>
  </si>
  <si>
    <t>Turtonator</t>
  </si>
  <si>
    <t>Blast Turtle Pokémon</t>
  </si>
  <si>
    <t>Nihilego</t>
  </si>
  <si>
    <t>Parasite Pokémon</t>
  </si>
  <si>
    <t>Chomp</t>
  </si>
  <si>
    <t>Neurotoxin</t>
  </si>
  <si>
    <t>Buzzwole</t>
  </si>
  <si>
    <t>Pheromosa</t>
  </si>
  <si>
    <t>Xurkitree</t>
  </si>
  <si>
    <t>Celesteela</t>
  </si>
  <si>
    <t>Launch Pokémon</t>
  </si>
  <si>
    <t>Glowing Pokémon</t>
  </si>
  <si>
    <t>Lissome Pokémon</t>
  </si>
  <si>
    <t>Swollen Pokémon</t>
  </si>
  <si>
    <t>Kartana</t>
  </si>
  <si>
    <t>Drawn Sword Pokémon</t>
  </si>
  <si>
    <t>Junkivore Pokémon</t>
  </si>
  <si>
    <t>Guzzlord</t>
  </si>
  <si>
    <t>Stakataka</t>
  </si>
  <si>
    <t>Blacephalon</t>
  </si>
  <si>
    <t>Rampart Pokémon</t>
  </si>
  <si>
    <t>Fireworks Pokémon</t>
  </si>
  <si>
    <t>Mind Blown</t>
  </si>
  <si>
    <t>Stinging Punch</t>
  </si>
  <si>
    <t>Power Plant</t>
  </si>
  <si>
    <t>Infatuate</t>
  </si>
  <si>
    <t>Lift Off</t>
  </si>
  <si>
    <t>Overcut</t>
  </si>
  <si>
    <t>Flawless Wall</t>
  </si>
  <si>
    <t>Critical hits deal +1 damage and for each critical hit rolled: The user heals 2 damage.</t>
  </si>
  <si>
    <t>Seismic Toss</t>
  </si>
  <si>
    <t>Vital Throw</t>
  </si>
  <si>
    <t>Hidden Punch</t>
  </si>
  <si>
    <t>Dazzling Gleam</t>
  </si>
  <si>
    <t>Litwick</t>
  </si>
  <si>
    <t>Lampent</t>
  </si>
  <si>
    <t>Chandelure</t>
  </si>
  <si>
    <t>Candle Pokémon</t>
  </si>
  <si>
    <t>Lamp Pokémon</t>
  </si>
  <si>
    <t>Luring Pokémon</t>
  </si>
  <si>
    <t>Inflict the Paralysed status on the target. Status symbols deal -2 damage.</t>
  </si>
  <si>
    <t>Inflict the Frozen status on the target. Status symbols deal -2 damage.</t>
  </si>
  <si>
    <t>Inflict the Drowsy status on the target.</t>
  </si>
  <si>
    <t>When the target is next attacked, Ice-type and Electric-type moves deal double damage.</t>
  </si>
  <si>
    <t>When the target is next attacked, Ground-type and Fighting-type moves deal double damage.</t>
  </si>
  <si>
    <t>Inflict the Frozen status on the target.</t>
  </si>
  <si>
    <t>Mud Bomb</t>
  </si>
  <si>
    <t>Headlong Rush</t>
  </si>
  <si>
    <t>Mach Punch</t>
  </si>
  <si>
    <t>Cyndaquil</t>
  </si>
  <si>
    <t>Fire Mouse Pokémon</t>
  </si>
  <si>
    <t>Quilava</t>
  </si>
  <si>
    <t>Volcano Pokémon</t>
  </si>
  <si>
    <t>Flame Wheel</t>
  </si>
  <si>
    <t>Quick Attack</t>
  </si>
  <si>
    <t>Will-O-Wisp</t>
  </si>
  <si>
    <t>Inferno</t>
  </si>
  <si>
    <t>Inflict the Burned status on the target. Status symbols deal -2 damage.</t>
  </si>
  <si>
    <t>Typhlosion</t>
  </si>
  <si>
    <t>Eruption</t>
  </si>
  <si>
    <t>Rowlet</t>
  </si>
  <si>
    <t>Grass Quill Pokémon</t>
  </si>
  <si>
    <t>Peck</t>
  </si>
  <si>
    <t>Leaf Blade</t>
  </si>
  <si>
    <t>When the target is next attacked, add a critical hit to the roll.</t>
  </si>
  <si>
    <t>Decidueye</t>
  </si>
  <si>
    <t>Blade Quill Pokémon</t>
  </si>
  <si>
    <t>Arrow Quill Pokémon</t>
  </si>
  <si>
    <t>Spirit Shackle</t>
  </si>
  <si>
    <t>Oshawott</t>
  </si>
  <si>
    <t>Sea Otter Pokémon</t>
  </si>
  <si>
    <t>Dewott</t>
  </si>
  <si>
    <t>Discipline Pokémon</t>
  </si>
  <si>
    <t>Formidable Pokémon</t>
  </si>
  <si>
    <t>Samurott</t>
  </si>
  <si>
    <t>Razor Shell</t>
  </si>
  <si>
    <t>Venoshock</t>
  </si>
  <si>
    <t>i_mod</t>
  </si>
  <si>
    <t>h_mod</t>
  </si>
  <si>
    <t>Roll a status dice and inflict the result on the target.</t>
  </si>
  <si>
    <t>Prism Pokémon</t>
  </si>
  <si>
    <t>Prismatic Laser</t>
  </si>
  <si>
    <t>Regular hits deal +1 damage.</t>
  </si>
  <si>
    <t>Status symbols deal -2 damage.</t>
  </si>
  <si>
    <t>Porygon</t>
  </si>
  <si>
    <t>Conversion</t>
  </si>
  <si>
    <t>Conversion 2</t>
  </si>
  <si>
    <t>Porygon2</t>
  </si>
  <si>
    <t>When the user next attacks, add a critical hit to the roll.</t>
  </si>
  <si>
    <t>Paras</t>
  </si>
  <si>
    <t>Mushroom Pokémon</t>
  </si>
  <si>
    <t>Spore</t>
  </si>
  <si>
    <t>Parasect</t>
  </si>
  <si>
    <t>Barb Barrage</t>
  </si>
  <si>
    <t>Goomy</t>
  </si>
  <si>
    <t>Soft Tissue Pokémon</t>
  </si>
  <si>
    <t>Shelter</t>
  </si>
  <si>
    <t>Dragon Pulse</t>
  </si>
  <si>
    <t>Sliggoo</t>
  </si>
  <si>
    <t>Goodra</t>
  </si>
  <si>
    <t>Petilil</t>
  </si>
  <si>
    <t>Bulb Pokémon</t>
  </si>
  <si>
    <t>Lilligant</t>
  </si>
  <si>
    <t>Flowering Pokémon</t>
  </si>
  <si>
    <t>Stun Spore</t>
  </si>
  <si>
    <t>Wave Crash</t>
  </si>
  <si>
    <t>Raging Fury</t>
  </si>
  <si>
    <t>Inflict the Burned status on the target. The target may no longer switch out or flee the battle.</t>
  </si>
  <si>
    <t>Critical hits deal +1 damage. When the target next attacks, status symbols deal -1 damage.</t>
  </si>
  <si>
    <t>Inflict the Paralysed status on the target.</t>
  </si>
  <si>
    <t xml:space="preserve">Deals 4 extra damage to Flying-type Pokémon. For each status symbol rolled: The user takes 2 damage. </t>
  </si>
  <si>
    <t>Synthetic Pokémon</t>
  </si>
  <si>
    <t>Silvally</t>
  </si>
  <si>
    <t>Multi-Attack</t>
  </si>
  <si>
    <t>If 2+ status symbols are rolled: Inflict the Confused status on the target.</t>
  </si>
  <si>
    <t>If 2+ status symbols are rolled: Deal 2 damage to a Pokémon in the target party that is not the target.</t>
  </si>
  <si>
    <t>For each fainted Pokémon in your party: Attack strength is increased by 1.</t>
  </si>
  <si>
    <t>If this move was used last turn, attack strength is increased to 4.</t>
  </si>
  <si>
    <t>If the user does not have a held item, attack strength is increased to 5 .</t>
  </si>
  <si>
    <t>Inflict the Burned status on the target. If the target is already Burned, attack strength is increased to 3.</t>
  </si>
  <si>
    <t>Inflict the Confused status on the target. If the target is already Confused, attack strength is increased to 3.</t>
  </si>
  <si>
    <t>Inflict the Drowsy status on the target. If the target is already Drowsy, attack strength is increased to 3.</t>
  </si>
  <si>
    <t>Inflict the Paralysed status on the target. If the target is already Paralysed, attack strength is increased to 3.</t>
  </si>
  <si>
    <t>Inflict the Poisoned status on the target. If the target is already Poisoned, attack strength is increased to 3.</t>
  </si>
  <si>
    <t>For each other non-fainted Pokémon in your party with the move Surf: Attack strength is increased by 1.</t>
  </si>
  <si>
    <t>If the target has a held item, attack strength is increased to 6.</t>
  </si>
  <si>
    <t>Critical hits deal +1 damage. If this move was used last turn, attack strength is increased to 6.</t>
  </si>
  <si>
    <t>Ultra Beast</t>
  </si>
  <si>
    <t>Ancient Acuity Form</t>
  </si>
  <si>
    <t>Ancient Verity Form</t>
  </si>
  <si>
    <t>Ancient Valor Form</t>
  </si>
  <si>
    <t>Inflict the Burned status on the target. If this move was used last turn, attack strength is increased to 5.</t>
  </si>
  <si>
    <t>If the target faints, any remaining damage from this attack is applied to the next Pokémon switched in.</t>
  </si>
  <si>
    <t>Until the user switches out: When the user is attacked, positive type effectiveness damage is reduced to 0.</t>
  </si>
  <si>
    <t>ultra_beast</t>
  </si>
  <si>
    <t>Poipole</t>
  </si>
  <si>
    <t>Poison Pin Pokémon</t>
  </si>
  <si>
    <t>Naganadel</t>
  </si>
  <si>
    <t>uncapturable</t>
  </si>
  <si>
    <t>Ultra Necrozma</t>
  </si>
  <si>
    <t>ultra_burst</t>
  </si>
  <si>
    <t>Choose any learnable type of the user as the type of this attack. Ignores the effects of Prism Armour.</t>
  </si>
  <si>
    <t>Qwilfish</t>
  </si>
  <si>
    <t>Dartrix</t>
  </si>
  <si>
    <t>Inflict both the Paralysed and Confused statuses on the target simultaneously.</t>
  </si>
  <si>
    <t>Inflict both the Poisoned and Drowsy statuses on the target simultaneously.</t>
  </si>
  <si>
    <t>If the target has a status effect, this move deals double damage.</t>
  </si>
  <si>
    <t>Necrozma</t>
  </si>
  <si>
    <t>800-m</t>
  </si>
  <si>
    <t>800-dw</t>
  </si>
  <si>
    <t>800-dm</t>
  </si>
  <si>
    <t>Phase 1</t>
  </si>
  <si>
    <t>Dusk Mane Necrozma</t>
  </si>
  <si>
    <t>Dawn Wings Necrozma</t>
  </si>
  <si>
    <t>Searing Sunraze</t>
  </si>
  <si>
    <t>Menacing Moonraze</t>
  </si>
  <si>
    <t>Photon Geyser</t>
  </si>
  <si>
    <t>Inflict the Frozen status on the target. If the target is already Frozen, this move deals double damage.</t>
  </si>
  <si>
    <t>Inflict the Burned status on the target. If the target is already Burned, this move deals double damage.</t>
  </si>
  <si>
    <t>Phase 2 - Dusk Mane Form</t>
  </si>
  <si>
    <t>Phase 2 - Dawn Wings Form</t>
  </si>
  <si>
    <t>Phase 3 - Ultra Burst Form</t>
  </si>
  <si>
    <t>If this move was used last turn, increase attack strength to 5 or heal 5 damage from the user.</t>
  </si>
  <si>
    <t>Kinesis</t>
  </si>
  <si>
    <t>Copy the effect of a move the user or target knows.</t>
  </si>
  <si>
    <t>Ember</t>
  </si>
  <si>
    <t>Smokescreen</t>
  </si>
  <si>
    <t>When the user and target are next attacked, replace a regular hit with a status symbol.</t>
  </si>
  <si>
    <t>Lava Plume</t>
  </si>
  <si>
    <t>Foul Play</t>
  </si>
  <si>
    <t>Copy the attack strength of a move the target knows. Minimum 1 attack strength.</t>
  </si>
  <si>
    <t>If the user faints when it is next attacked, the user may use a final move before fainting.</t>
  </si>
  <si>
    <t>When the user next attacks, add 2 status symbols to the roll.</t>
  </si>
  <si>
    <t>Muddy Water</t>
  </si>
  <si>
    <t>Steel Wing</t>
  </si>
  <si>
    <t>When the user is next attacked, remove a regular hit from the roll.</t>
  </si>
  <si>
    <t>Psyshield Bash</t>
  </si>
  <si>
    <t>Shadow Sneak</t>
  </si>
  <si>
    <t>Attack strength is equal to half the base health of the user, rounded down. Maximum 5 attack strength.</t>
  </si>
  <si>
    <t>Attack strength is equal to half the current initiative of the user, rounded down. Maximum 5 attack strength.</t>
  </si>
  <si>
    <t>Inkay</t>
  </si>
  <si>
    <t>Revolving Pokémon</t>
  </si>
  <si>
    <t>Malamar</t>
  </si>
  <si>
    <t>Overturning Pokémon</t>
  </si>
  <si>
    <t>Topsy-Turvy</t>
  </si>
  <si>
    <t>Inflict both the Drowsy and Confused statuses on the target simultaneously.</t>
  </si>
  <si>
    <t>Psycho Cut</t>
  </si>
  <si>
    <t>Tynamo</t>
  </si>
  <si>
    <t>Eelektrik</t>
  </si>
  <si>
    <t>Eelektross</t>
  </si>
  <si>
    <t>EleFish Pokémon</t>
  </si>
  <si>
    <t>Charge Beam</t>
  </si>
  <si>
    <t>Ion Deluge</t>
  </si>
  <si>
    <t>Coil</t>
  </si>
  <si>
    <t>Inflict both the Paralysed and Poisoned statuses on the target simultaneously.</t>
  </si>
  <si>
    <t>Elgyem</t>
  </si>
  <si>
    <t>Beheeyem</t>
  </si>
  <si>
    <t>Cerebral Pokémon</t>
  </si>
  <si>
    <t>Imprison</t>
  </si>
  <si>
    <t>Future Sight</t>
  </si>
  <si>
    <t>Until the user switches out: If the user is attacked with a move type it can learn, it deals -2 damage.</t>
  </si>
  <si>
    <t>Morelull</t>
  </si>
  <si>
    <t>Illuminating Pokémon</t>
  </si>
  <si>
    <t>Shiinotic</t>
  </si>
  <si>
    <t>Moonlight</t>
  </si>
  <si>
    <t>Spirit of the Mountain</t>
  </si>
  <si>
    <t>Growth of the Forest</t>
  </si>
  <si>
    <t>Wrath of the Ocean</t>
  </si>
  <si>
    <t>Frost of the North</t>
  </si>
  <si>
    <t>Roar of the Storm</t>
  </si>
  <si>
    <t>Requiem of the Lost</t>
  </si>
  <si>
    <t>Ferocity of the Volcano</t>
  </si>
  <si>
    <t>Until the user switches out: The user now heals 2 damage at the end of their turns.</t>
  </si>
  <si>
    <t>Melody of the Moon</t>
  </si>
  <si>
    <t>Barrier</t>
  </si>
  <si>
    <t>When the user is next attacked, reflect a regular hit and any status effects back to the attacker.</t>
  </si>
  <si>
    <t>Struggle Bug</t>
  </si>
  <si>
    <t>When the user is next attacked, remove a critical hit from the roll.</t>
  </si>
  <si>
    <t>Sweet Scent</t>
  </si>
  <si>
    <t>Solar Beam</t>
  </si>
  <si>
    <t>Flower Shield</t>
  </si>
  <si>
    <t>Belch</t>
  </si>
  <si>
    <t>Consume an Apricorn from the bag of user. The user decides which one.</t>
  </si>
  <si>
    <t>Sweet Kiss</t>
  </si>
  <si>
    <t>Flail</t>
  </si>
  <si>
    <t>For every 2 damage taken by the user: Increase attack strength by 1.</t>
  </si>
  <si>
    <t>Bug Trap</t>
  </si>
  <si>
    <t>Deals 4 extra damage to Bug-type Pokémon. The target may no longer switch out or flee the battle.</t>
  </si>
  <si>
    <t>Deals 4 extra damage to Water-type Pokémon. The target may no longer switch out or flee the battle.</t>
  </si>
  <si>
    <t>Deals 2 extra damage to Ghost-type Pokémon. The target may no longer switch out or flee the battle.</t>
  </si>
  <si>
    <t>When the user is next attacked, the attacker takes 5 damage if a critical hit is rolled.</t>
  </si>
  <si>
    <t>Poison Jab</t>
  </si>
  <si>
    <t>For each other non-fainted Bug-type Pokémon in your party: Attack strength is increased by 1.</t>
  </si>
  <si>
    <t>If this move was used last turn, attack strength is increased to 6 but inflict the Confused status on the user.</t>
  </si>
  <si>
    <t>Poison Sting</t>
  </si>
  <si>
    <t>Ice Shard</t>
  </si>
  <si>
    <t>On the next attack or capture roll against the target, status symbols deal +1 damage.</t>
  </si>
  <si>
    <t>Calm Mind</t>
  </si>
  <si>
    <t>Deal extra damage equal to your current battle fatigue and then reset your battle fatigue to 0.</t>
  </si>
  <si>
    <t>Attack strength is equal to the current health of the user. Maximum 7 attack strength.</t>
  </si>
  <si>
    <t>If 2+ status symbols are rolled: Deal 2 damage to all Pokémon in the target party that is not the target.</t>
  </si>
  <si>
    <t>Effect may be used once per battle: Force the target to switch out to a Pokémon of your choice if possible.</t>
  </si>
  <si>
    <t>Effect may be used once per battle: Increase the battle fatigue of the target to 5.</t>
  </si>
  <si>
    <t>Effect may be used once per battle: Increase the base health and initiative of the user by 3 until switched out.</t>
  </si>
  <si>
    <t>Effect may be used once per battle: Heal 5 damage and all status effects from the user.</t>
  </si>
  <si>
    <t>If a status symbol is rolled: Inflict the Burned status on the target. Status symbols deal +1 damage.</t>
  </si>
  <si>
    <t>If a status symbol is rolled: Inflict the Paralysed status on the target. Status symbols deal +1 damage.</t>
  </si>
  <si>
    <t>Inflict the Burned status on the target. If the target is already Burned, attack strength is increased to 5.</t>
  </si>
  <si>
    <t>Inflict the Confused status on the target. If the target is already Confused, attack strength is increased to 5.</t>
  </si>
  <si>
    <t>Inflict the Poisoned status on the target. If the target is already Poisoned, attack strength is increased to 5.</t>
  </si>
  <si>
    <t>Whirlpool</t>
  </si>
  <si>
    <t xml:space="preserve">During this attack and when the user is next attacked, status symbols deal +1 damage. </t>
  </si>
  <si>
    <t>Extreme Speed</t>
  </si>
  <si>
    <t>If the user knows another Electric-type move, deal 2 extra damage.</t>
  </si>
  <si>
    <t>If the user knows another Fire-type move, deal 2 extra damage.</t>
  </si>
  <si>
    <t>If the user knows another Water-type move, deal 2 extra damage. This move counts towards the effect of Surf.</t>
  </si>
  <si>
    <t>Attack strength is equal to half the base health of the target, rounded down. Maximum 6 attack strength.</t>
  </si>
  <si>
    <t>Attack strength is equal to half the current initiative of the target, rounded down. Maximum 6 attack strength.</t>
  </si>
  <si>
    <t>Critical hits deal +2 damage but for each critical hit rolled: The user takes 2 damage.</t>
  </si>
  <si>
    <t>Critical hits deal +2 damage but for each critical hit rolled: The user takes 1 damage.</t>
  </si>
  <si>
    <t>Critical hits deal +2 damage but for each critical hit rolled: The user takes 3 damage.</t>
  </si>
  <si>
    <t>If a status symbol is rolled: Transfer a status effect from the user to the target.</t>
  </si>
  <si>
    <t>trainer_class</t>
  </si>
  <si>
    <t>ability_1_name</t>
  </si>
  <si>
    <t>ability_1_description</t>
  </si>
  <si>
    <t>ability_2_name</t>
  </si>
  <si>
    <t>ability_2_description</t>
  </si>
  <si>
    <t>Fisherman</t>
  </si>
  <si>
    <t>Super Rod</t>
  </si>
  <si>
    <t>Pokémon Breeder</t>
  </si>
  <si>
    <t>Egg Move</t>
  </si>
  <si>
    <t>When evolving a Weak Pokémon, you may instead teach the move of its evolution to the pre-evolution as an Egg Move. This Pokémon can no longer evolve.</t>
  </si>
  <si>
    <t>Ace Trainer</t>
  </si>
  <si>
    <t>Team Builder</t>
  </si>
  <si>
    <t>May retry a Pokédex search once per encounter. Additionally, all Battle Items cost 1 less Apricorn to craft.</t>
  </si>
  <si>
    <t>Competitive Edge</t>
  </si>
  <si>
    <t>Your Strong Pokémon gain +1 health and +1 initiative.</t>
  </si>
  <si>
    <t>Hiker</t>
  </si>
  <si>
    <t>Hiking Gear</t>
  </si>
  <si>
    <t>Sturdy Footing</t>
  </si>
  <si>
    <t>Perfect IVs</t>
  </si>
  <si>
    <t>Bug Catcher</t>
  </si>
  <si>
    <t>After capturing a Bug-type Pokémon, take an extra turn. Cannot be repeated on the extra turn.</t>
  </si>
  <si>
    <t>Catching Frenzy</t>
  </si>
  <si>
    <t>Swimmer</t>
  </si>
  <si>
    <t>Surf Board</t>
  </si>
  <si>
    <t>Collector</t>
  </si>
  <si>
    <t>Your Pokémon gain +2 health and +1 initiative for every other Pokémon in your party that is the same as them.</t>
  </si>
  <si>
    <t>Scientist</t>
  </si>
  <si>
    <t>Field Observation</t>
  </si>
  <si>
    <t>Weakness Analysis</t>
  </si>
  <si>
    <t>Lady</t>
  </si>
  <si>
    <t>Noble Heritage</t>
  </si>
  <si>
    <t>Full Restore</t>
  </si>
  <si>
    <t>Hex Maniac</t>
  </si>
  <si>
    <t>Kindler</t>
  </si>
  <si>
    <t>Unstable Magic</t>
  </si>
  <si>
    <t>Black Belt</t>
  </si>
  <si>
    <t>Dragon Tamer</t>
  </si>
  <si>
    <t>Swift Swim</t>
  </si>
  <si>
    <t>Your Water-type Pokémon gain +2 initiative.</t>
  </si>
  <si>
    <t>Apex Hatchling</t>
  </si>
  <si>
    <t>Gather Firewood</t>
  </si>
  <si>
    <t>Burning Ignition</t>
  </si>
  <si>
    <t>May destroy an Apricorn Tree to skip the wild Pokémon encounter and gain all its Apricorns, but your turn ends after doing so. Add a Burned status effect to your bag as Firewood.</t>
  </si>
  <si>
    <t>Big Catch</t>
  </si>
  <si>
    <t>Bug Specialist</t>
  </si>
  <si>
    <t>Apex Strength</t>
  </si>
  <si>
    <t>When unlocked, gain 10 Journey Points. You no longer gain the bonus Journey Points for defeating wild Pokémon.</t>
  </si>
  <si>
    <t>Poké Maniac</t>
  </si>
  <si>
    <t>Pokémon Ranger</t>
  </si>
  <si>
    <t>Team Rocket</t>
  </si>
  <si>
    <t>Pokémon Thief</t>
  </si>
  <si>
    <t>Blasting Off</t>
  </si>
  <si>
    <t>When one of your Pokémon faints, deal 2 damage to the opposing Pokémon. If you are out of usable Pokémon, you may travel to any tile on the map and are automatically fully restored at the start of your next turn.</t>
  </si>
  <si>
    <t>Ruin Maniac</t>
  </si>
  <si>
    <t>Artifact Hunter</t>
  </si>
  <si>
    <t>Artifact Expert</t>
  </si>
  <si>
    <t>Team Aqua</t>
  </si>
  <si>
    <t>Team Magma</t>
  </si>
  <si>
    <t>Primordial Sea</t>
  </si>
  <si>
    <t>Desolate Land</t>
  </si>
  <si>
    <t>Psychic Manipulation</t>
  </si>
  <si>
    <t>Pokémon Ranch</t>
  </si>
  <si>
    <t>You may store an extra Pokémon at your Ranch. Whilst outside of battle, you may switch this Pokémon with one in your party. At the end of your turn, the Pokémon at your Ranch is fully restored.</t>
  </si>
  <si>
    <t>Natural Remedy</t>
  </si>
  <si>
    <t>Expert</t>
  </si>
  <si>
    <t>Bird Keeper</t>
  </si>
  <si>
    <t>Bird Whistle</t>
  </si>
  <si>
    <t>Shrine Keeper</t>
  </si>
  <si>
    <t>Your Pokémon that were taught an Egg Move gain +6 health and +6 initiative.</t>
  </si>
  <si>
    <t>Create Substitute</t>
  </si>
  <si>
    <t>Super Training</t>
  </si>
  <si>
    <t>Costs 3 Journey Points and can only be used once during battle. Fully restore any Pokémon in your party.</t>
  </si>
  <si>
    <t>During a wild Pokémon search, instead of battling you may directly teach all the moves searched to any Pokémon in your party that can learn them.</t>
  </si>
  <si>
    <t>After defeating a wild Pokémon, gain an extra Journey Point and Apricorn.</t>
  </si>
  <si>
    <t>When you attack with a Fire-type move, you may inflict the Burned status effect and deal 2 damage to the opposing Pokémon by using a Firewood from your bag.</t>
  </si>
  <si>
    <t>Submarine Dive</t>
  </si>
  <si>
    <t>Magma Tunnels</t>
  </si>
  <si>
    <t>Telekinetic Reach</t>
  </si>
  <si>
    <t>Whilst standing on an Ocean tile, you may teleport to any other Ocean tile, but your turn ends after doing so.</t>
  </si>
  <si>
    <t>Whilst standing on a Mountain tile, you may teleport to any other Mountain tile, but your turn ends after doing so.</t>
  </si>
  <si>
    <t>Your Pokémon always go first against wild Pokémon.</t>
  </si>
  <si>
    <t>Delinquent</t>
  </si>
  <si>
    <t>When you attack with a Dark-type move, the user takes 2 less damage when next attacked.</t>
  </si>
  <si>
    <t>When you attack with a Flying-type move, the user may switch out.</t>
  </si>
  <si>
    <t>Evasive Manoeuvre</t>
  </si>
  <si>
    <t>Youngster</t>
  </si>
  <si>
    <t>Intimidating Posture</t>
  </si>
  <si>
    <t>Future Career</t>
  </si>
  <si>
    <t>Childhood Friends</t>
  </si>
  <si>
    <t>When unlocked, you may switch this trainer card with another trainer card from the deck. Triggers the "when unlocked" effects on the new trainer card.</t>
  </si>
  <si>
    <t>Your Weak Pokémon gain +1 health and +1 initiative.</t>
  </si>
  <si>
    <t>Triathlete</t>
  </si>
  <si>
    <t>Swim, Bike, Run</t>
  </si>
  <si>
    <t>Triple Threat</t>
  </si>
  <si>
    <t>Gentleman</t>
  </si>
  <si>
    <t>Interviewers</t>
  </si>
  <si>
    <t>Big Scoop</t>
  </si>
  <si>
    <t>Live Reporting</t>
  </si>
  <si>
    <t>During battle, you may ask your opponent which Pokémon they will send out next. If they do not send out that Pokémon, they immediately take 3 damage.</t>
  </si>
  <si>
    <t>Ninja Boy</t>
  </si>
  <si>
    <t>Surprise Attack</t>
  </si>
  <si>
    <t>Artist</t>
  </si>
  <si>
    <t>Fairy Tale Girl</t>
  </si>
  <si>
    <t>When you attack with a Fairy-type move, heal 3 damage from a Pokémon in your party that is not the user.</t>
  </si>
  <si>
    <t>Detailed Sketch</t>
  </si>
  <si>
    <t>After defeating a wild Pokémon, you may teach its move to any Pokémon in your party regardless of their learnable move types.</t>
  </si>
  <si>
    <t>Finished Masterpiece</t>
  </si>
  <si>
    <t>Whenever another trainer gains a Journey Stamp, you may also gain that same Journey Stamp. Additionally, on your turn, you may teleport to that trainer to challenge them to a battle.</t>
  </si>
  <si>
    <t>Legendary Protector</t>
  </si>
  <si>
    <t>Essentia</t>
  </si>
  <si>
    <t>Enhanced Movement</t>
  </si>
  <si>
    <t>Suspicious Activity</t>
  </si>
  <si>
    <t>When attacking, you may set aside a rolled attack dice. This attack dice no longer applies to the current attack but can be added to a future attack roll during this battle.</t>
  </si>
  <si>
    <t>If your party has a move of every type, excluding Typeless, all your moves gain +2 attack strength.</t>
  </si>
  <si>
    <t>Aroma Lady</t>
  </si>
  <si>
    <t>Inflict the Poisoned status on the target. When the user is next attacked, remove 2 regular hits from the roll.</t>
  </si>
  <si>
    <t>The user may switch out. When the target next attacks, remove 2 regular hits from the roll.</t>
  </si>
  <si>
    <t>Inflict the Frozen status on the target. When the user is next attacked, remove 2 regular hits from the roll.</t>
  </si>
  <si>
    <t>When the user is next attacked, remove 2 regular hits from the roll and status symbols deal -1 damage.</t>
  </si>
  <si>
    <t>Your Pokémon with 3 moves of different types may change the type of their moves to any of those 3 types.</t>
  </si>
  <si>
    <t>When you attack with a Poison-type move, you may inflict either the Poisoned, Confused or Drowsy status on the target.</t>
  </si>
  <si>
    <t>Toxin Adept</t>
  </si>
  <si>
    <t>When you attack with a Grass-type move, the user heals 2 damage and all status effects.</t>
  </si>
  <si>
    <t>Your Moderate Pokémon gain +2 health and +2 initiative.</t>
  </si>
  <si>
    <t>Trusty Companions</t>
  </si>
  <si>
    <t>Wishing Star</t>
  </si>
  <si>
    <t>When inflicting a status effect, you may instead roll it to inflict the new status effect it lands on.</t>
  </si>
  <si>
    <t>Spell Caster</t>
  </si>
  <si>
    <t>Offering Thief</t>
  </si>
  <si>
    <t>When another trainer makes a Shrine Offering, the Apricorn used is given to you instead of being discarded.</t>
  </si>
  <si>
    <t>When you make a Shrine Offering, draw an extra Shrine Event card to choose from.</t>
  </si>
  <si>
    <t>Sweet Treat</t>
  </si>
  <si>
    <t>Protein Supplements</t>
  </si>
  <si>
    <t>Cherish Ball</t>
  </si>
  <si>
    <t>Your Apex Dragon gains +5 health, +1 initiative and +1 attack strength to its moves.</t>
  </si>
  <si>
    <t>When unlocked, search the Weak Pokémon deck for a Dragon-type Pokémon and add it to your party. This Pokémon receives the Apex Dragon held item which cannot be unequipped. Your Apex Dragon costs an extra 5 Journey Points to evolve at all stages.</t>
  </si>
  <si>
    <t>Your Pokémon gain health equal to their Catch Size.</t>
  </si>
  <si>
    <t>Costs 2 Blue Apricorns and 1 Pink Apricorn, lasts until the end of the battle. Your Pokémon now heal 1 damage at the end of their turns.</t>
  </si>
  <si>
    <t>Costs 2 White Apricorns and 1 Red Apricorn, lasts until the end of the battle. Your Fighting-type Pokémon gain +2 initiative and +2 attack strength to their Fighting-type moves.</t>
  </si>
  <si>
    <t>Your Bug-type moves gain +1 attack strength. Additionally, your Bug-type Pokémon gain +2 health.</t>
  </si>
  <si>
    <t>During encounters at Apricorn Trees, +1 to your capture rolls.</t>
  </si>
  <si>
    <t>Your Ghost-type moves gain +1 attack strength. Additionally, you may inflict more than one unique status effect onto a target.</t>
  </si>
  <si>
    <t>Your Artifacts gain +1 attack strength to their bonuses.</t>
  </si>
  <si>
    <t>Your Pokémon deal +1 damage when attacking with positive type effectiveness.</t>
  </si>
  <si>
    <t>All Water-type moves gain +2 attack strength and all Fire-type moves gain -2 attack strength.</t>
  </si>
  <si>
    <t>All Fire-type moves gain +2 attack strength and all Water-type moves gain -2 attack strength.</t>
  </si>
  <si>
    <t>During a battle with another player, you can attempt to capture their Pokémon but with -2 to your capture rolls. The captured Pokémon keeps everything it currently has attached.</t>
  </si>
  <si>
    <t>Beauty</t>
  </si>
  <si>
    <t>Lady Luck</t>
  </si>
  <si>
    <t>Guitarist</t>
  </si>
  <si>
    <t>Poké Fan</t>
  </si>
  <si>
    <t>Free Merchandise</t>
  </si>
  <si>
    <t>Cute Charm</t>
  </si>
  <si>
    <t>Your Weak Pokémon take 2 less damage when attacked.</t>
  </si>
  <si>
    <t>When you attack with a Normal-type move, status symbols deal +1 damage.</t>
  </si>
  <si>
    <t>When unlocked, you receive 2 Battle Items of your choice.</t>
  </si>
  <si>
    <t>Natural Charisma</t>
  </si>
  <si>
    <t>During all your rolls, critical hits deal +2 damage but status symbols deal -1 damage.</t>
  </si>
  <si>
    <t>Amplifier Overload</t>
  </si>
  <si>
    <t>Worker</t>
  </si>
  <si>
    <t>Veteran</t>
  </si>
  <si>
    <t>If 2+ status symbols are rolled: Inflict the Drowsy status on the target.</t>
  </si>
  <si>
    <t>Lunar Blessing</t>
  </si>
  <si>
    <t>Bubble Beam</t>
  </si>
  <si>
    <t>Lick</t>
  </si>
  <si>
    <t>Your Ice-type Pokémon gain +2 initiative.</t>
  </si>
  <si>
    <t>Parasol Lady</t>
  </si>
  <si>
    <t>Weather Forecast</t>
  </si>
  <si>
    <t>Utility Umbrella</t>
  </si>
  <si>
    <t>Amulet Coin</t>
  </si>
  <si>
    <t>After capturing or defeating a wild Pokémon, gain an extra Journey Point.</t>
  </si>
  <si>
    <t>Stamp Collector</t>
  </si>
  <si>
    <t>Pokémon Collector</t>
  </si>
  <si>
    <t>When claiming any stamp reward, you may claim it an extra time.</t>
  </si>
  <si>
    <t>Gale Force</t>
  </si>
  <si>
    <t>Scuba Diver</t>
  </si>
  <si>
    <t>Sunken Treasure</t>
  </si>
  <si>
    <t>If your Pokémon attacks first after an initiative check, it deals 2 extra damage on that attack.</t>
  </si>
  <si>
    <t>When you attack with a Water-type move, the user may switch out.</t>
  </si>
  <si>
    <t>During encounters at Apricorn Reefs, +1 to your capture rolls. If the catch is successful, roll a Catch Size dice and add it to the Pokémon. You may immediately return captured Pokémon to the deck.</t>
  </si>
  <si>
    <t>Road Works</t>
  </si>
  <si>
    <t>Ramp Up</t>
  </si>
  <si>
    <t>When you attack with an Electric-type move, you may double the value of your Amplifier dice when its used. Afterwards, you can no longer use your Amplifier dice during this battle.</t>
  </si>
  <si>
    <t>When unlocked, you receive an Amplifier dice. For every status symbol you roll, increase your Amplifier dice by 1. You may reset the Amplifier dice to add its value as damage to any attack.</t>
  </si>
  <si>
    <t>You may ignore Alpha Pokémon when interacting with Special Hidden Spots.</t>
  </si>
  <si>
    <t>Scuba Dive</t>
  </si>
  <si>
    <t>You may fly to a village from any tile for 2 tile moves. There cannot be any Team Galactic Grunts on that village.</t>
  </si>
  <si>
    <t>Picnicker</t>
  </si>
  <si>
    <t>All Apricorn Stews cost 1 less Apricorn to craft.</t>
  </si>
  <si>
    <t>Sky Trainer</t>
  </si>
  <si>
    <t>Gardener</t>
  </si>
  <si>
    <t>Roller Skater</t>
  </si>
  <si>
    <t>Chef</t>
  </si>
  <si>
    <t>Tourist</t>
  </si>
  <si>
    <t>Landmark Tour</t>
  </si>
  <si>
    <t>Pokémon Disguise</t>
  </si>
  <si>
    <t>Backpacker</t>
  </si>
  <si>
    <t>Sky Battle</t>
  </si>
  <si>
    <t>Your Flying-type Pokémon gain +2 initiative.</t>
  </si>
  <si>
    <t>Wing Suit</t>
  </si>
  <si>
    <t>You may move to adjacent tiles that are 2 or more elevations lower than your current tile without using a tile move.</t>
  </si>
  <si>
    <t>Your Rock-type Pokémon and Ground-type Pokémon gain +5 health but -1 initiative.</t>
  </si>
  <si>
    <t>Costs 1 Journey Point to build up to 2 Roads. You may build Roads on any non-Ocean tiles you move onto this turn. All trainers can move through any number of interconnected Roads for 1 tile move. Roads are built by drawing them with the Pen tool.</t>
  </si>
  <si>
    <t>Wilderness Expert</t>
  </si>
  <si>
    <t>Diamond Acolyte</t>
  </si>
  <si>
    <t>Pearl Acolyte</t>
  </si>
  <si>
    <t>Platinum Acolyte</t>
  </si>
  <si>
    <t>Undivided Acolyte</t>
  </si>
  <si>
    <t>When you attack with a Psychic-type move, you may reroll the dice result. Battle fatigue still increases.</t>
  </si>
  <si>
    <t>Temporal Devotion</t>
  </si>
  <si>
    <t>Spatial Devotion</t>
  </si>
  <si>
    <t>Renegade Devotion</t>
  </si>
  <si>
    <t>When unlocked, you can no longer be a Follower of a God of Sinnoh. You gain the powers of Celestial Fragments within the Neutral Domain.</t>
  </si>
  <si>
    <t>Maintain Balance</t>
  </si>
  <si>
    <t>Once per turn, you may move up to 3 Plains tiles in a row for free.</t>
  </si>
  <si>
    <t>Once per turn, you may move up to 2 non-Mountain tiles in a row for free.</t>
  </si>
  <si>
    <t>Once per turn, you may move up to 3 Mountain tiles in a row for free. Additionally, you can move onto any tile regardless of its elevation.</t>
  </si>
  <si>
    <t>Once per turn, you may move an extra tile for free.</t>
  </si>
  <si>
    <t>Effect may be used once until the user switches out: Use another move this turn.</t>
  </si>
  <si>
    <t>Effect may be used once per battle: Heal 2 damage from all Pokémon in your party including the user.</t>
  </si>
  <si>
    <t>Will there be more, less or an equal amount of critical hits rolled than status symbols? If incorrect, deal -3 damage.</t>
  </si>
  <si>
    <t>Your Legendary Pokémon heal 1 damage at the end of their turns.</t>
  </si>
  <si>
    <t>Your Legendary Pokémon gain +2 health for every Celestial Fragment within the Domain of Dialga.</t>
  </si>
  <si>
    <t>Your Legendary Pokémon gain +1 initiative for every Celestial Fragment within the Domain of Palkia.</t>
  </si>
  <si>
    <t>Your Legendary Pokémon gain +1 attack strength to their signature moves for every Celestial Fragment with the Domain of Giratina.</t>
  </si>
  <si>
    <t>Celestial Shield</t>
  </si>
  <si>
    <t>Celestial Speed</t>
  </si>
  <si>
    <t>Celestial Strength</t>
  </si>
  <si>
    <t>Celestial Balance</t>
  </si>
  <si>
    <t>Your Legendary Pokémon gain +2 health, +1 initiative and +1 attack strength to their signature moves if all the Celestial Fragments are within the Neutral Domain.</t>
  </si>
  <si>
    <t>Once per turn, you may gain an Apricorn from an Apricorn Tree you are standing on.</t>
  </si>
  <si>
    <t>Your Grass-type Pokémon and Bug-type Pokémon gain +3 initiative but -2 health.</t>
  </si>
  <si>
    <t>Trimmed Form</t>
  </si>
  <si>
    <t>Pick Apricorn</t>
  </si>
  <si>
    <t>Your Steel-type Pokémon prevent the opposing Pokémon from switching out or fleeing the battle.</t>
  </si>
  <si>
    <t>Civil Engineer</t>
  </si>
  <si>
    <t>Masterwork Stew</t>
  </si>
  <si>
    <t xml:space="preserve">Once per turn, trade up to 3 Apricorns in your bag for different Apricorns of the same tier. </t>
  </si>
  <si>
    <t>Ingredient Expert</t>
  </si>
  <si>
    <t>Costs 1 of every Apricorn, lasts until the end of battle. Your Pokémon gain +1 attack strength to their moves that are the same type as them.</t>
  </si>
  <si>
    <t>When unlocked, you automatically become a Follower of Palkia and may move the Spatial Fragment to an unoccupied space within the Domain of Palkia.</t>
  </si>
  <si>
    <t>When unlocked, you automatically become a Follower of Giratina and may move the Renegade Fragment to an unoccupied space within the Domain of Giratina.</t>
  </si>
  <si>
    <t>When unlocked, you automatically become a Follower of Dialga and may move the Temporal Fragment to an unoccupied space within the Domain of Dialga.</t>
  </si>
  <si>
    <t>When unlocked, you receive a Cherish Ball. When used to capture a wild Pokémon, it automatically captures that Pokémon.</t>
  </si>
  <si>
    <t>When unlocked, place the Landmark Tour sheet in your hand. Each time you visit a new Artifact Legendary Location, stamp it on your Landmark Tour sheet and gain 3 Journey Points.</t>
  </si>
  <si>
    <t>Once per turn whilst on an Ocean tile, you may draw a Hidden Spot from the discard pile after shuffling it. Place the drawn Hidden Spot on the tile you are on, you may then interact with it as usual.</t>
  </si>
  <si>
    <t>Protective Gear</t>
  </si>
  <si>
    <t>Roller Skates</t>
  </si>
  <si>
    <t>When attacked, your Pokémon take 2 less damage if they are attacked first after switching in.</t>
  </si>
  <si>
    <t>Blog Post</t>
  </si>
  <si>
    <t>Once per game, you may make a Blog Post of your adventure. For every stamp on your Landmark Tour sheet and on your Journey Stamp sheet, gain 1 Journey Point. For every Strong Pokémon in your party, gain 1 Apricorn. For every Legendary Pokémon in your party, gain 3 Apricorns.</t>
  </si>
  <si>
    <t>Picnic Basket</t>
  </si>
  <si>
    <t>Everytime you pick up an Apricorn Stash or an Artifact, gain an extra tile move.</t>
  </si>
  <si>
    <t>Keep Moving</t>
  </si>
  <si>
    <t>Backpack Switch</t>
  </si>
  <si>
    <t>At the start of your turns during battle, you may switch the item your Pokémon is holding with one currently in your bag.</t>
  </si>
  <si>
    <t>Once per turn, you may move up to 5 tiles in a row that have nothing to interact with on.</t>
  </si>
  <si>
    <t>Picnic Spot</t>
  </si>
  <si>
    <t>When unlocked, place the Weather Wheel in the middle of the arena on a Weather of your choice. Any trainer may change the Weather by discarding 5 Journey Points at a Shrine. All moves that match the Weather type gain +1 attack strength.</t>
  </si>
  <si>
    <t>Your Pokémon take 1 less damage from moves that match the current Weather.</t>
  </si>
  <si>
    <t>When switched in, you may take 3 damage to create a Substitute that lasts until it is destroyed. The Substitute blocks all status effects and up to 3 damage before being destroyed. Any damage left over after destroying the substitute is lost.</t>
  </si>
  <si>
    <t>When the user is next attacked, remove 2 regular hits from the roll.</t>
  </si>
  <si>
    <t>If this move was used last turn, attack strength is decreased to 2.</t>
  </si>
  <si>
    <t>Time Travel</t>
  </si>
  <si>
    <t>When the target next attacks, you may force them to reroll their attack once. Battle fatigue still increases.</t>
  </si>
  <si>
    <t>Yawn</t>
  </si>
  <si>
    <t>When the target next attacks, status symbols deal -1 damage. This move counts towards the effect of Surf.</t>
  </si>
  <si>
    <t>483-o</t>
  </si>
  <si>
    <t>484-o</t>
  </si>
  <si>
    <t>487-o</t>
  </si>
  <si>
    <t>state</t>
  </si>
  <si>
    <t>move_type</t>
  </si>
  <si>
    <t>move_attack_strength</t>
  </si>
  <si>
    <t>Origin Giratina</t>
  </si>
  <si>
    <t>Overheat</t>
  </si>
  <si>
    <t>Fan Rotom</t>
  </si>
  <si>
    <t>Frost Rotom</t>
  </si>
  <si>
    <t>Heat Rotom</t>
  </si>
  <si>
    <t>Mow Rotom</t>
  </si>
  <si>
    <t>Wash Rotom</t>
  </si>
  <si>
    <t>Sky Shaymin</t>
  </si>
  <si>
    <t>492-s</t>
  </si>
  <si>
    <t>479-s</t>
  </si>
  <si>
    <t>479-f</t>
  </si>
  <si>
    <t>479-h</t>
  </si>
  <si>
    <t>479-m</t>
  </si>
  <si>
    <t>479-w</t>
  </si>
  <si>
    <t>Increase the battle fatigue of the target to 5.</t>
  </si>
  <si>
    <t>Increase the battle fatigue of the target by 3.</t>
  </si>
  <si>
    <t>Honedge</t>
  </si>
  <si>
    <t>Sword Pokémon</t>
  </si>
  <si>
    <t>Doublade</t>
  </si>
  <si>
    <t>Aegislash</t>
  </si>
  <si>
    <t>Royal Sword Pokémon</t>
  </si>
  <si>
    <t>Sacred Sword</t>
  </si>
  <si>
    <t>681-b</t>
  </si>
  <si>
    <t>Blade Aegislash</t>
  </si>
  <si>
    <t>King's Blade</t>
  </si>
  <si>
    <t>King's Shield</t>
  </si>
  <si>
    <t>The dice rolled by this attack cannot be removed by any effect.</t>
  </si>
  <si>
    <t>move_effect</t>
  </si>
  <si>
    <t>move_power</t>
  </si>
  <si>
    <t>Tempered Steel</t>
  </si>
  <si>
    <t>Frigid Ice</t>
  </si>
  <si>
    <t>Until the user switches out: When the user is attacked, inflict the Frozen status on the attacker.</t>
  </si>
  <si>
    <t>Repairing Rock</t>
  </si>
  <si>
    <t>Sandy Wormadam</t>
  </si>
  <si>
    <t>Trash Wormadam</t>
  </si>
  <si>
    <t>413-c</t>
  </si>
  <si>
    <t>413-t</t>
  </si>
  <si>
    <t>Adaptive Cloak</t>
  </si>
  <si>
    <t>421-s</t>
  </si>
  <si>
    <t>422-e</t>
  </si>
  <si>
    <t>423-e</t>
  </si>
  <si>
    <t>389-n</t>
  </si>
  <si>
    <t>392-n</t>
  </si>
  <si>
    <t>395-n</t>
  </si>
  <si>
    <t>398-n</t>
  </si>
  <si>
    <t>405-n</t>
  </si>
  <si>
    <t>468-n</t>
  </si>
  <si>
    <t>473-n</t>
  </si>
  <si>
    <t>477-n</t>
  </si>
  <si>
    <t>480-x</t>
  </si>
  <si>
    <t>481-x</t>
  </si>
  <si>
    <t>482-x</t>
  </si>
  <si>
    <t>493-x</t>
  </si>
  <si>
    <t>Effect may be used once per battle: Deal 1 damage to all Pokémon in the target party including the target.</t>
  </si>
  <si>
    <t>Effect may be used once per battle: Deal 1 extra damage for each fainted Pokémon in your party.</t>
  </si>
  <si>
    <t>Effect may be used once per battle: Deal 1 extra damage for every 2 damage taken by the user.</t>
  </si>
  <si>
    <t>Change form if possible. Then, choose either base type of the user as the type of this attack.</t>
  </si>
  <si>
    <t>Inflict both the Drowsy and Paralysed statuses on the target simultaneously.</t>
  </si>
  <si>
    <t>Take Heart</t>
  </si>
  <si>
    <t>Until the user switches out: Increase the initiative of the user by 3.</t>
  </si>
  <si>
    <t>Heal all status effects from the user. When the user is next attacked, remove a regular hit from the roll.</t>
  </si>
  <si>
    <t>Inflict the Drowsy status on the target. The user heals for half the damage dealt, rounded up.</t>
  </si>
  <si>
    <t>You may interact with everything from up to 1 tile away.</t>
  </si>
  <si>
    <t>The user may switch out. Heal all status effects from the user and from all Pokémon in your party.</t>
  </si>
  <si>
    <t>Sunshine Cherrim</t>
  </si>
  <si>
    <t>Gather Sunlight</t>
  </si>
  <si>
    <t>Sunshine Form</t>
  </si>
  <si>
    <t>Fan Form</t>
  </si>
  <si>
    <t>Frost Form</t>
  </si>
  <si>
    <t>Heat Form</t>
  </si>
  <si>
    <t>Mow Form</t>
  </si>
  <si>
    <t>Wash Form</t>
  </si>
  <si>
    <t>Origin Form</t>
  </si>
  <si>
    <t>Shield Form</t>
  </si>
  <si>
    <t>Blade Form</t>
  </si>
  <si>
    <t>Sky Form</t>
  </si>
  <si>
    <t>Sandy Cloak Form</t>
  </si>
  <si>
    <t>Trash Cloak Form</t>
  </si>
  <si>
    <t>The user heals 3 damage.</t>
  </si>
  <si>
    <t>The user heals 2 damage. Change to Sunshine Form after this attack if possible.</t>
  </si>
  <si>
    <t>Overcast Form</t>
  </si>
  <si>
    <t>Critical hits deal +1 damage. Change to Shield Form after this attack if possible.</t>
  </si>
  <si>
    <t>When the user is next attacked, remove all regular hits from the roll. Change to Blade Form after this attack if possible.</t>
  </si>
  <si>
    <t>Plant Cloak Form</t>
  </si>
  <si>
    <t>Once per turn, you may move up to 2 Ocean tiles in a row for free. Increased by 1 for each Pokémon in your party with the move Surf. This ability counts towards the effect of Surf.</t>
  </si>
  <si>
    <t>Noble Form</t>
  </si>
  <si>
    <t>407-n</t>
  </si>
  <si>
    <t>26-n</t>
  </si>
  <si>
    <t>68-n</t>
  </si>
  <si>
    <t>365-n</t>
  </si>
  <si>
    <t>474-n</t>
  </si>
  <si>
    <t>609-n</t>
  </si>
  <si>
    <t>724-n</t>
  </si>
  <si>
    <t>157-n</t>
  </si>
  <si>
    <t>503-n</t>
  </si>
  <si>
    <t>804-n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</si>
</sst>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5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4C864"/>
        <bgColor indexed="64"/>
      </patternFill>
    </fill>
    <fill>
      <patternFill patternType="solid">
        <fgColor rgb="FF6496FA"/>
        <bgColor indexed="64"/>
      </patternFill>
    </fill>
    <fill>
      <patternFill patternType="solid">
        <fgColor rgb="FFFAFA64"/>
        <bgColor indexed="64"/>
      </patternFill>
    </fill>
    <fill>
      <patternFill patternType="solid">
        <fgColor rgb="FF64FAFA"/>
        <bgColor indexed="64"/>
      </patternFill>
    </fill>
    <fill>
      <patternFill patternType="solid">
        <fgColor rgb="FFFA6464"/>
        <bgColor indexed="64"/>
      </patternFill>
    </fill>
    <fill>
      <patternFill patternType="solid">
        <fgColor rgb="FFC864FA"/>
        <bgColor indexed="64"/>
      </patternFill>
    </fill>
    <fill>
      <patternFill patternType="solid">
        <fgColor rgb="FFC86432"/>
        <bgColor indexed="64"/>
      </patternFill>
    </fill>
    <fill>
      <patternFill patternType="solid">
        <fgColor rgb="FFFA9632"/>
        <bgColor indexed="64"/>
      </patternFill>
    </fill>
    <fill>
      <patternFill patternType="solid">
        <fgColor rgb="FFC8C8FA"/>
        <bgColor indexed="64"/>
      </patternFill>
    </fill>
    <fill>
      <patternFill patternType="solid">
        <fgColor rgb="FFFA9696"/>
        <bgColor indexed="64"/>
      </patternFill>
    </fill>
    <fill>
      <patternFill patternType="solid">
        <fgColor rgb="FF96C832"/>
        <bgColor indexed="64"/>
      </patternFill>
    </fill>
    <fill>
      <patternFill patternType="solid">
        <fgColor rgb="FF969664"/>
        <bgColor indexed="64"/>
      </patternFill>
    </fill>
    <fill>
      <patternFill patternType="solid">
        <fgColor rgb="FF9664C8"/>
        <bgColor indexed="64"/>
      </patternFill>
    </fill>
    <fill>
      <patternFill patternType="solid">
        <fgColor rgb="FF6464C8"/>
        <bgColor indexed="64"/>
      </patternFill>
    </fill>
    <fill>
      <patternFill patternType="solid">
        <fgColor rgb="FF646464"/>
        <bgColor indexed="64"/>
      </patternFill>
    </fill>
    <fill>
      <patternFill patternType="solid">
        <fgColor rgb="FF9696C8"/>
        <bgColor indexed="64"/>
      </patternFill>
    </fill>
    <fill>
      <patternFill patternType="solid">
        <fgColor rgb="FFFA96C8"/>
        <bgColor indexed="64"/>
      </patternFill>
    </fill>
    <fill>
      <patternFill patternType="solid">
        <fgColor rgb="FFC8C8C8"/>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0">
    <xf numFmtId="0" fontId="0" fillId="0" borderId="0" xfId="0"/>
    <xf numFmtId="0" fontId="0" fillId="0" borderId="0" xfId="0" applyNumberFormat="1"/>
    <xf numFmtId="0" fontId="0" fillId="0" borderId="0" xfId="0" applyNumberFormat="1" applyFill="1"/>
    <xf numFmtId="49" fontId="0" fillId="0" borderId="0" xfId="0" applyNumberFormat="1"/>
    <xf numFmtId="0" fontId="0" fillId="0" borderId="0" xfId="0" applyNumberFormat="1" applyFont="1" applyFill="1"/>
    <xf numFmtId="49" fontId="0" fillId="0" borderId="0" xfId="0" applyNumberFormat="1" applyFont="1" applyFill="1"/>
    <xf numFmtId="0" fontId="0" fillId="0" borderId="0" xfId="0" applyFill="1"/>
    <xf numFmtId="1" fontId="0" fillId="0" borderId="0" xfId="0" applyNumberFormat="1"/>
    <xf numFmtId="0" fontId="0" fillId="0" borderId="0" xfId="0"/>
    <xf numFmtId="0" fontId="0" fillId="0" borderId="0" xfId="0" applyNumberFormat="1"/>
    <xf numFmtId="0" fontId="0" fillId="0" borderId="0" xfId="0" applyNumberFormat="1" applyFill="1"/>
    <xf numFmtId="0" fontId="0" fillId="0" borderId="0" xfId="0" applyFill="1"/>
    <xf numFmtId="1" fontId="0" fillId="0" borderId="0" xfId="0" applyNumberFormat="1"/>
    <xf numFmtId="49" fontId="0" fillId="0" borderId="0" xfId="0" applyNumberFormat="1" applyFill="1"/>
    <xf numFmtId="0" fontId="0" fillId="0" borderId="10" xfId="0" applyNumberFormat="1" applyBorder="1"/>
    <xf numFmtId="0" fontId="0" fillId="0" borderId="10" xfId="0" applyNumberFormat="1" applyFill="1" applyBorder="1"/>
    <xf numFmtId="49" fontId="0" fillId="0" borderId="10" xfId="0" applyNumberFormat="1" applyBorder="1"/>
    <xf numFmtId="1" fontId="0" fillId="0" borderId="10" xfId="0" applyNumberFormat="1" applyBorder="1"/>
    <xf numFmtId="0" fontId="0" fillId="0" borderId="10" xfId="0" applyBorder="1"/>
    <xf numFmtId="0" fontId="0" fillId="0" borderId="10" xfId="0" applyFill="1" applyBorder="1"/>
    <xf numFmtId="49" fontId="0" fillId="0" borderId="10" xfId="0" applyNumberFormat="1" applyFill="1" applyBorder="1"/>
    <xf numFmtId="0" fontId="17" fillId="51" borderId="0" xfId="0" applyFont="1" applyFill="1"/>
    <xf numFmtId="0" fontId="17" fillId="51" borderId="0" xfId="0" applyNumberFormat="1" applyFont="1" applyFill="1"/>
    <xf numFmtId="49" fontId="17" fillId="51" borderId="0" xfId="0" applyNumberFormat="1" applyFont="1" applyFill="1"/>
    <xf numFmtId="1" fontId="17" fillId="51" borderId="0" xfId="0" applyNumberFormat="1" applyFont="1" applyFill="1"/>
    <xf numFmtId="0" fontId="0" fillId="0" borderId="0" xfId="0" applyNumberFormat="1" applyFill="1" applyBorder="1"/>
    <xf numFmtId="0" fontId="0" fillId="0" borderId="0" xfId="0" applyBorder="1"/>
    <xf numFmtId="0" fontId="0" fillId="0" borderId="0" xfId="0" applyFill="1" applyBorder="1"/>
    <xf numFmtId="0" fontId="0" fillId="37" borderId="0" xfId="0" applyFill="1" applyBorder="1"/>
    <xf numFmtId="0" fontId="0" fillId="0" borderId="0" xfId="0" applyNumberFormat="1" applyBorder="1"/>
    <xf numFmtId="0" fontId="0" fillId="50" borderId="0" xfId="0" applyFill="1" applyBorder="1"/>
    <xf numFmtId="0" fontId="0" fillId="40" borderId="0" xfId="0" applyFill="1" applyBorder="1"/>
    <xf numFmtId="0" fontId="0" fillId="34" borderId="0" xfId="0" applyFill="1" applyBorder="1"/>
    <xf numFmtId="0" fontId="0" fillId="35" borderId="0" xfId="0" applyFill="1" applyBorder="1"/>
    <xf numFmtId="0" fontId="0" fillId="33" borderId="0" xfId="0" applyFill="1" applyBorder="1"/>
    <xf numFmtId="0" fontId="0" fillId="36" borderId="0" xfId="0" applyFill="1" applyBorder="1"/>
    <xf numFmtId="0" fontId="0" fillId="38" borderId="0" xfId="0" applyFill="1" applyBorder="1"/>
    <xf numFmtId="0" fontId="0" fillId="39" borderId="0" xfId="0" applyFill="1" applyBorder="1"/>
    <xf numFmtId="0" fontId="0" fillId="41" borderId="0" xfId="0" applyFill="1" applyBorder="1"/>
    <xf numFmtId="0" fontId="0" fillId="42" borderId="0" xfId="0" applyFill="1" applyBorder="1"/>
    <xf numFmtId="0" fontId="0" fillId="43" borderId="0" xfId="0" applyFill="1" applyBorder="1"/>
    <xf numFmtId="0" fontId="0" fillId="44" borderId="0" xfId="0" applyFill="1" applyBorder="1"/>
    <xf numFmtId="0" fontId="0" fillId="45" borderId="0" xfId="0" applyFill="1" applyBorder="1"/>
    <xf numFmtId="0" fontId="0" fillId="46" borderId="0" xfId="0" applyFill="1" applyBorder="1"/>
    <xf numFmtId="0" fontId="0" fillId="47" borderId="0" xfId="0" applyFill="1" applyBorder="1"/>
    <xf numFmtId="0" fontId="0" fillId="48" borderId="0" xfId="0" applyFill="1" applyBorder="1"/>
    <xf numFmtId="0" fontId="0" fillId="49" borderId="0" xfId="0" applyFill="1" applyBorder="1"/>
    <xf numFmtId="49" fontId="0" fillId="0" borderId="0" xfId="0" applyNumberFormat="1" applyBorder="1"/>
    <xf numFmtId="1" fontId="0" fillId="0" borderId="0" xfId="0" applyNumberFormat="1" applyBorder="1"/>
    <xf numFmtId="49" fontId="0" fillId="0" borderId="0" xfId="0" applyNumberFormat="1" applyFill="1" applyBorder="1"/>
    <xf numFmtId="0" fontId="17" fillId="51" borderId="0" xfId="0" applyNumberFormat="1" applyFont="1" applyFill="1" applyAlignment="1">
      <alignment wrapText="1"/>
    </xf>
    <xf numFmtId="0" fontId="0" fillId="0" borderId="0" xfId="0" applyAlignment="1">
      <alignment wrapText="1"/>
    </xf>
    <xf numFmtId="0" fontId="0" fillId="0" borderId="0" xfId="0" applyAlignment="1"/>
    <xf numFmtId="0" fontId="17" fillId="51" borderId="0" xfId="0" applyFont="1" applyFill="1" applyAlignment="1"/>
    <xf numFmtId="0" fontId="0" fillId="0" borderId="0" xfId="0" applyFill="1" applyAlignment="1"/>
    <xf numFmtId="0" fontId="0" fillId="0" borderId="0" xfId="0" applyFill="1" applyAlignment="1">
      <alignment wrapText="1"/>
    </xf>
    <xf numFmtId="0" fontId="0" fillId="0" borderId="0" xfId="0" applyBorder="1"/>
    <xf numFmtId="0" fontId="0" fillId="0" borderId="0" xfId="0" applyBorder="1"/>
    <xf numFmtId="0" fontId="0" fillId="0" borderId="0" xfId="0" applyBorder="1"/>
    <xf numFmtId="0" fontId="0" fillId="0" borderId="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ill>
        <patternFill>
          <bgColor rgb="FFFAFAE1"/>
        </patternFill>
      </fill>
    </dxf>
    <dxf>
      <fill>
        <patternFill>
          <bgColor rgb="FF92D050"/>
        </patternFill>
      </fill>
    </dxf>
    <dxf>
      <font>
        <b val="0"/>
        <i/>
        <color rgb="FFE1E1E1"/>
      </font>
    </dxf>
    <dxf>
      <font>
        <b/>
        <i val="0"/>
      </font>
      <fill>
        <patternFill>
          <bgColor rgb="FFFAFAE1"/>
        </patternFill>
      </fill>
    </dxf>
    <dxf>
      <font>
        <b/>
        <i val="0"/>
      </font>
      <fill>
        <patternFill>
          <bgColor rgb="FFFAE1FA"/>
        </patternFill>
      </fill>
    </dxf>
    <dxf>
      <font>
        <b val="0"/>
        <i/>
        <color rgb="FFE1E1E1"/>
      </font>
    </dxf>
    <dxf>
      <font>
        <b/>
        <i val="0"/>
        <color auto="1"/>
      </font>
      <fill>
        <patternFill>
          <bgColor rgb="FFE1FAE1"/>
        </patternFill>
      </fill>
    </dxf>
    <dxf>
      <font>
        <b/>
        <i val="0"/>
        <color auto="1"/>
      </font>
      <fill>
        <patternFill>
          <bgColor rgb="FFFAE1E1"/>
        </patternFill>
      </fill>
    </dxf>
    <dxf>
      <fill>
        <patternFill>
          <bgColor rgb="FFFAFAE1"/>
        </patternFill>
      </fill>
    </dxf>
  </dxfs>
  <tableStyles count="0" defaultTableStyle="TableStyleMedium2" defaultPivotStyle="PivotStyleLight16"/>
  <colors>
    <mruColors>
      <color rgb="FFFAFAE1"/>
      <color rgb="FFFAE1FA"/>
      <color rgb="FFE1E1E1"/>
      <color rgb="FFFAE1C8"/>
      <color rgb="FFE1FAE1"/>
      <color rgb="FFFAE1E1"/>
      <color rgb="FFC8FAC8"/>
      <color rgb="FFFAC8C8"/>
      <color rgb="FFFCE4D6"/>
      <color rgb="FFD0CE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73"/>
  <sheetViews>
    <sheetView tabSelected="1" zoomScale="85" zoomScaleNormal="85" workbookViewId="0">
      <selection activeCell="M3" sqref="M3"/>
    </sheetView>
  </sheetViews>
  <sheetFormatPr defaultRowHeight="15" x14ac:dyDescent="0.25"/>
  <cols>
    <col min="1" max="1" width="7.42578125" style="9" customWidth="1"/>
    <col min="2" max="2" width="14.85546875" style="1" bestFit="1" customWidth="1"/>
    <col min="3" max="3" width="8.42578125" style="3" bestFit="1" customWidth="1"/>
    <col min="4" max="4" width="7.85546875" style="3" customWidth="1"/>
    <col min="5" max="7" width="4" style="1" bestFit="1" customWidth="1"/>
    <col min="8" max="8" width="6.7109375" style="1" bestFit="1" customWidth="1"/>
    <col min="9" max="9" width="7" style="1" customWidth="1"/>
    <col min="10" max="10" width="4.140625" style="1" bestFit="1" customWidth="1"/>
    <col min="11" max="11" width="22.42578125" style="1" bestFit="1" customWidth="1"/>
    <col min="12" max="12" width="9.5703125" style="1" bestFit="1" customWidth="1"/>
    <col min="13" max="13" width="10.7109375" style="1" bestFit="1" customWidth="1"/>
    <col min="14" max="14" width="10" style="9" customWidth="1"/>
    <col min="15" max="15" width="7.7109375" style="9" customWidth="1"/>
    <col min="16" max="16" width="6.5703125" style="9" bestFit="1" customWidth="1"/>
    <col min="17" max="17" width="7.140625" style="9" bestFit="1" customWidth="1"/>
    <col min="18" max="18" width="9" style="7" bestFit="1" customWidth="1"/>
    <col min="19" max="19" width="6.7109375" style="7" bestFit="1" customWidth="1"/>
    <col min="20" max="20" width="5.140625" style="7" bestFit="1" customWidth="1"/>
    <col min="21" max="23" width="8" style="1" bestFit="1" customWidth="1"/>
    <col min="24" max="24" width="8" style="1" customWidth="1"/>
    <col min="25" max="25" width="21.28515625" style="1" customWidth="1"/>
    <col min="26" max="26" width="3.28515625" style="12" customWidth="1"/>
    <col min="27" max="27" width="21.5703125" bestFit="1" customWidth="1"/>
    <col min="28" max="28" width="22.5703125" style="1" bestFit="1" customWidth="1"/>
    <col min="29" max="29" width="22.42578125" bestFit="1" customWidth="1"/>
    <col min="30" max="30" width="9" style="8" customWidth="1"/>
    <col min="31" max="31" width="3.5703125" style="8" customWidth="1"/>
    <col min="32" max="32" width="16" style="8" customWidth="1"/>
    <col min="33" max="33" width="9.28515625" style="6" bestFit="1" customWidth="1"/>
    <col min="34" max="34" width="12.28515625" style="6" customWidth="1"/>
    <col min="35" max="35" width="14.42578125" bestFit="1" customWidth="1"/>
    <col min="36" max="36" width="13.140625" bestFit="1" customWidth="1"/>
    <col min="37" max="37" width="3.140625" customWidth="1"/>
    <col min="38" max="38" width="3.28515625" customWidth="1"/>
    <col min="39" max="39" width="3" customWidth="1"/>
  </cols>
  <sheetData>
    <row r="1" spans="1:39" x14ac:dyDescent="0.25">
      <c r="A1" s="22" t="s">
        <v>1</v>
      </c>
      <c r="B1" s="22" t="s">
        <v>307</v>
      </c>
      <c r="C1" s="23" t="s">
        <v>305</v>
      </c>
      <c r="D1" s="23" t="s">
        <v>306</v>
      </c>
      <c r="E1" s="22" t="s">
        <v>0</v>
      </c>
      <c r="F1" s="22" t="s">
        <v>308</v>
      </c>
      <c r="G1" s="22" t="s">
        <v>309</v>
      </c>
      <c r="H1" s="22" t="s">
        <v>310</v>
      </c>
      <c r="I1" s="22" t="s">
        <v>311</v>
      </c>
      <c r="J1" s="22" t="s">
        <v>312</v>
      </c>
      <c r="K1" s="22" t="s">
        <v>319</v>
      </c>
      <c r="L1" s="22" t="s">
        <v>472</v>
      </c>
      <c r="M1" s="22" t="s">
        <v>473</v>
      </c>
      <c r="N1" s="22" t="s">
        <v>600</v>
      </c>
      <c r="O1" s="22" t="s">
        <v>601</v>
      </c>
      <c r="P1" s="22" t="s">
        <v>795</v>
      </c>
      <c r="Q1" s="22" t="s">
        <v>796</v>
      </c>
      <c r="R1" s="24" t="s">
        <v>561</v>
      </c>
      <c r="S1" s="24" t="s">
        <v>560</v>
      </c>
      <c r="T1" s="24" t="s">
        <v>562</v>
      </c>
      <c r="U1" s="22" t="s">
        <v>437</v>
      </c>
      <c r="V1" s="22" t="s">
        <v>438</v>
      </c>
      <c r="W1" s="22" t="s">
        <v>439</v>
      </c>
      <c r="X1" s="22" t="s">
        <v>549</v>
      </c>
      <c r="Y1" s="22" t="s">
        <v>446</v>
      </c>
      <c r="Z1" s="24" t="s">
        <v>440</v>
      </c>
      <c r="AA1" s="22" t="s">
        <v>445</v>
      </c>
      <c r="AB1" s="22" t="s">
        <v>314</v>
      </c>
      <c r="AC1" s="21" t="s">
        <v>512</v>
      </c>
      <c r="AD1" s="21" t="s">
        <v>1251</v>
      </c>
      <c r="AE1" s="21" t="s">
        <v>1252</v>
      </c>
      <c r="AF1" s="21" t="s">
        <v>1280</v>
      </c>
      <c r="AG1" s="22" t="s">
        <v>582</v>
      </c>
      <c r="AH1" s="22" t="s">
        <v>460</v>
      </c>
      <c r="AI1" s="21" t="s">
        <v>599</v>
      </c>
      <c r="AJ1" s="21" t="s">
        <v>471</v>
      </c>
      <c r="AK1" s="22" t="s">
        <v>461</v>
      </c>
      <c r="AL1" s="22" t="s">
        <v>856</v>
      </c>
      <c r="AM1" s="22" t="s">
        <v>1250</v>
      </c>
    </row>
    <row r="2" spans="1:39" x14ac:dyDescent="0.25">
      <c r="A2" s="9">
        <v>387</v>
      </c>
      <c r="B2" s="1" t="s">
        <v>143</v>
      </c>
      <c r="C2" s="3" t="s">
        <v>2</v>
      </c>
      <c r="E2" s="1">
        <v>55</v>
      </c>
      <c r="F2" s="1">
        <v>68</v>
      </c>
      <c r="G2" s="1">
        <v>64</v>
      </c>
      <c r="H2" s="1">
        <v>45</v>
      </c>
      <c r="I2" s="1">
        <v>55</v>
      </c>
      <c r="J2" s="1">
        <v>31</v>
      </c>
      <c r="K2" s="1" t="s">
        <v>320</v>
      </c>
      <c r="L2" s="1" t="s">
        <v>298</v>
      </c>
      <c r="M2" s="1" t="s">
        <v>300</v>
      </c>
      <c r="N2" s="9">
        <f>(0.4*J2 + 0.5*MAX(F2,H2) + 0.1*MIN(F2,H2)) / 10</f>
        <v>5.09</v>
      </c>
      <c r="O2" s="9">
        <f>(0.4*E2 + 0.3*G2 + 0.3*I2) / 10</f>
        <v>5.7700000000000005</v>
      </c>
      <c r="P2" s="9">
        <v>-1</v>
      </c>
      <c r="Q2" s="9">
        <v>0</v>
      </c>
      <c r="R2" s="7">
        <f>ROUND(N2,0)+P2</f>
        <v>4</v>
      </c>
      <c r="S2" s="7">
        <f>ROUND(O2,0)+Q2</f>
        <v>6</v>
      </c>
      <c r="T2" s="7">
        <f>SUM(ROUND(R2,0),ROUND(S2,0))</f>
        <v>10</v>
      </c>
      <c r="U2" s="1" t="str">
        <f t="shared" ref="U2:U74" si="0">C2</f>
        <v>grass</v>
      </c>
      <c r="V2" s="1" t="s">
        <v>13</v>
      </c>
      <c r="W2" s="1" t="s">
        <v>9</v>
      </c>
      <c r="X2" s="1" t="s">
        <v>8</v>
      </c>
      <c r="Y2" s="1" t="str">
        <f>B3</f>
        <v>Grotle</v>
      </c>
      <c r="Z2" s="12">
        <f t="shared" ref="Z2:Z74" si="1">IF(ISBLANK(Y2), "", ROUND(( (T3-6)*(T3-7) - (T2-6)*(T2-7) )/15, 0) + 1)</f>
        <v>4</v>
      </c>
      <c r="AA2" t="str">
        <f t="shared" ref="AA2:AA44" si="2">B2</f>
        <v>Turtwig</v>
      </c>
      <c r="AC2" t="s">
        <v>616</v>
      </c>
      <c r="AD2" s="8" t="str">
        <f>VLOOKUP(AC2,moves!A:B,2,FALSE)</f>
        <v>grass</v>
      </c>
      <c r="AE2" s="8">
        <f>VLOOKUP(AC2,moves!A:D,4,FALSE)</f>
        <v>3</v>
      </c>
      <c r="AF2" s="8" t="str">
        <f>VLOOKUP(AC2,moves!A:E,5,FALSE)</f>
        <v>Critical hits deal +1 damage.</v>
      </c>
      <c r="AG2" s="6">
        <v>1</v>
      </c>
      <c r="AH2" s="6">
        <v>0</v>
      </c>
      <c r="AI2" t="str" cm="1">
        <f t="array" ref="AI2">_xlfn.IFS(AG2=1, "starter", AH2=1, "legendary",T2&lt; 13, "weak",T2&lt; 17, "moderate", TRUE, "strong")</f>
        <v>starter</v>
      </c>
      <c r="AK2">
        <v>1</v>
      </c>
      <c r="AL2">
        <v>0</v>
      </c>
      <c r="AM2">
        <v>0</v>
      </c>
    </row>
    <row r="3" spans="1:39" x14ac:dyDescent="0.25">
      <c r="A3" s="9">
        <v>388</v>
      </c>
      <c r="B3" s="1" t="s">
        <v>144</v>
      </c>
      <c r="C3" s="3" t="s">
        <v>2</v>
      </c>
      <c r="E3" s="1">
        <v>75</v>
      </c>
      <c r="F3" s="1">
        <v>89</v>
      </c>
      <c r="G3" s="1">
        <v>85</v>
      </c>
      <c r="H3" s="1">
        <v>55</v>
      </c>
      <c r="I3" s="1">
        <v>65</v>
      </c>
      <c r="J3" s="1">
        <v>36</v>
      </c>
      <c r="K3" s="1" t="s">
        <v>321</v>
      </c>
      <c r="L3" s="1" t="s">
        <v>298</v>
      </c>
      <c r="M3" s="1" t="s">
        <v>300</v>
      </c>
      <c r="N3" s="9">
        <f t="shared" ref="N3:N75" si="3">(0.4*J3 + 0.5*MAX(F3,H3) + 0.1*MIN(F3,H3)) / 10</f>
        <v>6.44</v>
      </c>
      <c r="O3" s="9">
        <f t="shared" ref="O3:O75" si="4">(0.4*E3 + 0.3*G3 + 0.3*I3) / 10</f>
        <v>7.5</v>
      </c>
      <c r="P3" s="9">
        <v>0</v>
      </c>
      <c r="Q3" s="9">
        <v>0</v>
      </c>
      <c r="R3" s="12">
        <f t="shared" ref="R3:R75" si="5">ROUND(N3,0)+P3</f>
        <v>6</v>
      </c>
      <c r="S3" s="12">
        <f t="shared" ref="S3:S75" si="6">ROUND(O3,0)+Q3</f>
        <v>8</v>
      </c>
      <c r="T3" s="12">
        <f t="shared" ref="T3:T75" si="7">SUM(ROUND(R3,0),ROUND(S3,0))</f>
        <v>14</v>
      </c>
      <c r="U3" s="1" t="str">
        <f t="shared" si="0"/>
        <v>grass</v>
      </c>
      <c r="V3" s="1" t="s">
        <v>13</v>
      </c>
      <c r="W3" s="1" t="s">
        <v>9</v>
      </c>
      <c r="X3" s="1" t="s">
        <v>8</v>
      </c>
      <c r="Y3" s="1" t="str">
        <f>B4</f>
        <v>Torterra</v>
      </c>
      <c r="Z3" s="12">
        <f t="shared" si="1"/>
        <v>6</v>
      </c>
      <c r="AA3" t="str">
        <f t="shared" si="2"/>
        <v>Grotle</v>
      </c>
      <c r="AC3" t="s">
        <v>530</v>
      </c>
      <c r="AD3" s="8" t="str">
        <f>VLOOKUP(AC3,moves!A:B,2,FALSE)</f>
        <v>dark</v>
      </c>
      <c r="AE3" s="8">
        <f>VLOOKUP(AC3,moves!A:D,4,FALSE)</f>
        <v>3</v>
      </c>
      <c r="AF3" s="8" t="str">
        <f>VLOOKUP(AC3,moves!A:E,5,FALSE)</f>
        <v>When the target is next attacked, add a regular hit to the roll.</v>
      </c>
      <c r="AG3" s="6">
        <v>0</v>
      </c>
      <c r="AH3" s="6">
        <v>0</v>
      </c>
      <c r="AI3" s="8" t="str" cm="1">
        <f t="array" ref="AI3">_xlfn.IFS(AG3=1, "starter", AH3=1, "legendary",T3&lt; 13, "weak",T3&lt; 17, "moderate", TRUE, "strong")</f>
        <v>moderate</v>
      </c>
      <c r="AK3">
        <v>2</v>
      </c>
      <c r="AL3" s="8">
        <v>0</v>
      </c>
      <c r="AM3" s="8">
        <v>0</v>
      </c>
    </row>
    <row r="4" spans="1:39" x14ac:dyDescent="0.25">
      <c r="A4" s="9">
        <v>389</v>
      </c>
      <c r="B4" s="1" t="s">
        <v>145</v>
      </c>
      <c r="C4" s="3" t="s">
        <v>2</v>
      </c>
      <c r="D4" s="3" t="s">
        <v>13</v>
      </c>
      <c r="E4" s="1">
        <v>95</v>
      </c>
      <c r="F4" s="1">
        <v>109</v>
      </c>
      <c r="G4" s="1">
        <v>105</v>
      </c>
      <c r="H4" s="1">
        <v>75</v>
      </c>
      <c r="I4" s="1">
        <v>85</v>
      </c>
      <c r="J4" s="1">
        <v>56</v>
      </c>
      <c r="K4" s="1" t="s">
        <v>322</v>
      </c>
      <c r="L4" s="1" t="s">
        <v>298</v>
      </c>
      <c r="M4" s="1" t="s">
        <v>300</v>
      </c>
      <c r="N4" s="9">
        <f t="shared" si="3"/>
        <v>8.4400000000000013</v>
      </c>
      <c r="O4" s="9">
        <f t="shared" si="4"/>
        <v>9.5</v>
      </c>
      <c r="P4" s="9">
        <v>0</v>
      </c>
      <c r="Q4" s="9">
        <v>0</v>
      </c>
      <c r="R4" s="12">
        <f t="shared" si="5"/>
        <v>8</v>
      </c>
      <c r="S4" s="12">
        <f t="shared" si="6"/>
        <v>10</v>
      </c>
      <c r="T4" s="12">
        <f t="shared" si="7"/>
        <v>18</v>
      </c>
      <c r="U4" s="1" t="str">
        <f t="shared" si="0"/>
        <v>grass</v>
      </c>
      <c r="V4" s="1" t="str">
        <f>IF(D4 = 0, "", D4)</f>
        <v>ground</v>
      </c>
      <c r="W4" s="1" t="s">
        <v>9</v>
      </c>
      <c r="X4" s="1" t="s">
        <v>8</v>
      </c>
      <c r="Z4" s="12" t="str">
        <f>IF(ISBLANK(Y4), "", ROUND(( (T6-6)*(T6-7) - (T4-6)*(T4-7) )/15, 0) + 1)</f>
        <v/>
      </c>
      <c r="AA4" t="str">
        <f t="shared" si="2"/>
        <v>Torterra</v>
      </c>
      <c r="AC4" t="s">
        <v>765</v>
      </c>
      <c r="AD4" s="8" t="str">
        <f>VLOOKUP(AC4,moves!A:B,2,FALSE)</f>
        <v>ground</v>
      </c>
      <c r="AE4" s="8">
        <f>VLOOKUP(AC4,moves!A:D,4,FALSE)</f>
        <v>5</v>
      </c>
      <c r="AF4" s="8" t="str">
        <f>VLOOKUP(AC4,moves!A:E,5,FALSE)</f>
        <v xml:space="preserve">During this attack and when the user is next attacked, status symbols deal +1 damage. </v>
      </c>
      <c r="AG4" s="6">
        <v>0</v>
      </c>
      <c r="AH4" s="6">
        <v>0</v>
      </c>
      <c r="AI4" s="8" t="str" cm="1">
        <f t="array" ref="AI4">_xlfn.IFS(AG4=1, "starter", AH4=1, "legendary",T4&lt; 13, "weak",T4&lt; 17, "moderate", TRUE, "strong")</f>
        <v>strong</v>
      </c>
      <c r="AK4">
        <v>3</v>
      </c>
      <c r="AL4" s="8">
        <v>0</v>
      </c>
      <c r="AM4" s="8">
        <v>1</v>
      </c>
    </row>
    <row r="5" spans="1:39" x14ac:dyDescent="0.25">
      <c r="A5" s="29" t="s">
        <v>1294</v>
      </c>
      <c r="B5" s="29" t="s">
        <v>145</v>
      </c>
      <c r="C5" s="47" t="s">
        <v>2</v>
      </c>
      <c r="D5" s="47" t="s">
        <v>13</v>
      </c>
      <c r="E5" s="29">
        <v>95</v>
      </c>
      <c r="F5" s="29">
        <v>109</v>
      </c>
      <c r="G5" s="29">
        <v>105</v>
      </c>
      <c r="H5" s="29">
        <v>75</v>
      </c>
      <c r="I5" s="29">
        <v>85</v>
      </c>
      <c r="J5" s="29">
        <v>56</v>
      </c>
      <c r="K5" s="9" t="s">
        <v>322</v>
      </c>
      <c r="L5" s="9" t="s">
        <v>298</v>
      </c>
      <c r="M5" s="9" t="s">
        <v>300</v>
      </c>
      <c r="N5" s="29">
        <f>(0.4*J5 + 0.5*MAX(F5,H5) + 0.1*MIN(F5,H5)) / 10</f>
        <v>8.4400000000000013</v>
      </c>
      <c r="O5" s="29">
        <f>(0.4*E5 + 0.3*G5 + 0.3*I5) / 10</f>
        <v>9.5</v>
      </c>
      <c r="P5" s="29">
        <v>1</v>
      </c>
      <c r="Q5" s="29">
        <v>2</v>
      </c>
      <c r="R5" s="48">
        <f>ROUND(N5,0)+P5</f>
        <v>9</v>
      </c>
      <c r="S5" s="48">
        <f>ROUND(O5,0)+Q5</f>
        <v>12</v>
      </c>
      <c r="T5" s="12">
        <f>SUM(ROUND(R5,0),ROUND(S5,0))</f>
        <v>21</v>
      </c>
      <c r="U5" s="9" t="str">
        <f>C5</f>
        <v>grass</v>
      </c>
      <c r="V5" s="9" t="str">
        <f>IF(D5 = 0, "", D5)</f>
        <v>ground</v>
      </c>
      <c r="W5" s="9" t="s">
        <v>9</v>
      </c>
      <c r="X5" s="9" t="s">
        <v>8</v>
      </c>
      <c r="Y5" s="29"/>
      <c r="Z5" s="48"/>
      <c r="AA5" s="26" t="str">
        <f>B5</f>
        <v>Torterra</v>
      </c>
      <c r="AB5" s="25" t="s">
        <v>1338</v>
      </c>
      <c r="AC5" s="8" t="s">
        <v>765</v>
      </c>
      <c r="AD5" s="8" t="str">
        <f>VLOOKUP(AC5,moves!A:B,2,FALSE)</f>
        <v>ground</v>
      </c>
      <c r="AE5" s="8">
        <f>VLOOKUP(AC5,moves!A:D,4,FALSE)</f>
        <v>5</v>
      </c>
      <c r="AF5" s="8" t="str">
        <f>VLOOKUP(AC5,moves!A:E,5,FALSE)</f>
        <v xml:space="preserve">During this attack and when the user is next attacked, status symbols deal +1 damage. </v>
      </c>
      <c r="AG5" s="27">
        <v>0</v>
      </c>
      <c r="AH5" s="11">
        <v>1</v>
      </c>
      <c r="AI5" s="8" t="str" cm="1">
        <f t="array" ref="AI5">_xlfn.IFS(AG5=1, "starter", AH5=1, "legendary",T5&lt; 13, "weak",T5&lt; 17, "moderate", TRUE, "strong")</f>
        <v>legendary</v>
      </c>
      <c r="AJ5" s="26"/>
      <c r="AK5" s="26">
        <v>3</v>
      </c>
      <c r="AL5" s="8">
        <v>0</v>
      </c>
      <c r="AM5" s="8">
        <v>2</v>
      </c>
    </row>
    <row r="6" spans="1:39" x14ac:dyDescent="0.25">
      <c r="A6" s="9">
        <v>390</v>
      </c>
      <c r="B6" s="1" t="s">
        <v>146</v>
      </c>
      <c r="C6" s="3" t="s">
        <v>4</v>
      </c>
      <c r="E6" s="1">
        <v>44</v>
      </c>
      <c r="F6" s="1">
        <v>58</v>
      </c>
      <c r="G6" s="1">
        <v>44</v>
      </c>
      <c r="H6" s="1">
        <v>58</v>
      </c>
      <c r="I6" s="1">
        <v>44</v>
      </c>
      <c r="J6" s="1">
        <v>61</v>
      </c>
      <c r="K6" s="1" t="s">
        <v>323</v>
      </c>
      <c r="L6" s="1" t="s">
        <v>298</v>
      </c>
      <c r="M6" s="1" t="s">
        <v>302</v>
      </c>
      <c r="N6" s="9">
        <f t="shared" si="3"/>
        <v>5.92</v>
      </c>
      <c r="O6" s="9">
        <f t="shared" si="4"/>
        <v>4.4000000000000004</v>
      </c>
      <c r="P6" s="9">
        <v>0</v>
      </c>
      <c r="Q6" s="9">
        <v>0</v>
      </c>
      <c r="R6" s="12">
        <f t="shared" si="5"/>
        <v>6</v>
      </c>
      <c r="S6" s="12">
        <f t="shared" si="6"/>
        <v>4</v>
      </c>
      <c r="T6" s="12">
        <f t="shared" si="7"/>
        <v>10</v>
      </c>
      <c r="U6" s="1" t="str">
        <f t="shared" si="0"/>
        <v>fire</v>
      </c>
      <c r="V6" s="1" t="s">
        <v>22</v>
      </c>
      <c r="W6" s="1" t="s">
        <v>33</v>
      </c>
      <c r="X6" s="1" t="s">
        <v>5</v>
      </c>
      <c r="Y6" s="1" t="str">
        <f>B7</f>
        <v>Monferno</v>
      </c>
      <c r="Z6" s="12">
        <f t="shared" si="1"/>
        <v>4</v>
      </c>
      <c r="AA6" t="str">
        <f t="shared" si="2"/>
        <v>Chimchar</v>
      </c>
      <c r="AC6" t="s">
        <v>883</v>
      </c>
      <c r="AD6" s="8" t="str">
        <f>VLOOKUP(AC6,moves!A:B,2,FALSE)</f>
        <v>fire</v>
      </c>
      <c r="AE6" s="8">
        <f>VLOOKUP(AC6,moves!A:D,4,FALSE)</f>
        <v>2</v>
      </c>
      <c r="AF6" s="8" t="str">
        <f>VLOOKUP(AC6,moves!A:E,5,FALSE)</f>
        <v>Inflict the Burned status on the target.</v>
      </c>
      <c r="AG6" s="6">
        <v>1</v>
      </c>
      <c r="AH6" s="6">
        <v>0</v>
      </c>
      <c r="AI6" s="8" t="str" cm="1">
        <f t="array" ref="AI6">_xlfn.IFS(AG6=1, "starter", AH6=1, "legendary",T6&lt; 13, "weak",T6&lt; 17, "moderate", TRUE, "strong")</f>
        <v>starter</v>
      </c>
      <c r="AK6">
        <v>1</v>
      </c>
      <c r="AL6" s="8">
        <v>0</v>
      </c>
      <c r="AM6" s="8">
        <v>0</v>
      </c>
    </row>
    <row r="7" spans="1:39" x14ac:dyDescent="0.25">
      <c r="A7" s="9">
        <v>391</v>
      </c>
      <c r="B7" s="1" t="s">
        <v>147</v>
      </c>
      <c r="C7" s="3" t="s">
        <v>4</v>
      </c>
      <c r="D7" s="3" t="s">
        <v>22</v>
      </c>
      <c r="E7" s="1">
        <v>64</v>
      </c>
      <c r="F7" s="1">
        <v>78</v>
      </c>
      <c r="G7" s="1">
        <v>52</v>
      </c>
      <c r="H7" s="1">
        <v>78</v>
      </c>
      <c r="I7" s="1">
        <v>52</v>
      </c>
      <c r="J7" s="1">
        <v>81</v>
      </c>
      <c r="K7" s="1" t="s">
        <v>324</v>
      </c>
      <c r="L7" s="1" t="s">
        <v>298</v>
      </c>
      <c r="M7" s="1" t="s">
        <v>302</v>
      </c>
      <c r="N7" s="9">
        <f t="shared" si="3"/>
        <v>7.92</v>
      </c>
      <c r="O7" s="9">
        <f t="shared" si="4"/>
        <v>5.6800000000000006</v>
      </c>
      <c r="P7" s="9">
        <v>0</v>
      </c>
      <c r="Q7" s="9">
        <v>0</v>
      </c>
      <c r="R7" s="12">
        <f t="shared" si="5"/>
        <v>8</v>
      </c>
      <c r="S7" s="12">
        <f t="shared" si="6"/>
        <v>6</v>
      </c>
      <c r="T7" s="12">
        <f t="shared" si="7"/>
        <v>14</v>
      </c>
      <c r="U7" s="1" t="str">
        <f t="shared" si="0"/>
        <v>fire</v>
      </c>
      <c r="V7" s="1" t="str">
        <f>IF(D7 = 0, "", D7)</f>
        <v>fighting</v>
      </c>
      <c r="W7" s="1" t="s">
        <v>33</v>
      </c>
      <c r="X7" s="1" t="s">
        <v>5</v>
      </c>
      <c r="Y7" s="1" t="str">
        <f>B8</f>
        <v>Infernape</v>
      </c>
      <c r="Z7" s="12">
        <f t="shared" si="1"/>
        <v>6</v>
      </c>
      <c r="AA7" t="str">
        <f t="shared" si="2"/>
        <v>Monferno</v>
      </c>
      <c r="AC7" t="s">
        <v>766</v>
      </c>
      <c r="AD7" s="8" t="str">
        <f>VLOOKUP(AC7,moves!A:B,2,FALSE)</f>
        <v>fighting</v>
      </c>
      <c r="AE7" s="8">
        <f>VLOOKUP(AC7,moves!A:D,4,FALSE)</f>
        <v>2</v>
      </c>
      <c r="AF7" s="8" t="str">
        <f>VLOOKUP(AC7,moves!A:E,5,FALSE)</f>
        <v>Effect may be used once until the user switches out: Use another move this turn.</v>
      </c>
      <c r="AG7" s="6">
        <v>0</v>
      </c>
      <c r="AH7" s="6">
        <v>0</v>
      </c>
      <c r="AI7" s="8" t="str" cm="1">
        <f t="array" ref="AI7">_xlfn.IFS(AG7=1, "starter", AH7=1, "legendary",T7&lt; 13, "weak",T7&lt; 17, "moderate", TRUE, "strong")</f>
        <v>moderate</v>
      </c>
      <c r="AK7">
        <v>2</v>
      </c>
      <c r="AL7" s="8">
        <v>0</v>
      </c>
      <c r="AM7" s="8">
        <v>0</v>
      </c>
    </row>
    <row r="8" spans="1:39" x14ac:dyDescent="0.25">
      <c r="A8" s="9">
        <v>392</v>
      </c>
      <c r="B8" s="1" t="s">
        <v>148</v>
      </c>
      <c r="C8" s="3" t="s">
        <v>4</v>
      </c>
      <c r="D8" s="3" t="s">
        <v>22</v>
      </c>
      <c r="E8" s="1">
        <v>76</v>
      </c>
      <c r="F8" s="1">
        <v>104</v>
      </c>
      <c r="G8" s="1">
        <v>71</v>
      </c>
      <c r="H8" s="1">
        <v>104</v>
      </c>
      <c r="I8" s="1">
        <v>71</v>
      </c>
      <c r="J8" s="1">
        <v>108</v>
      </c>
      <c r="K8" s="1" t="s">
        <v>325</v>
      </c>
      <c r="L8" s="1" t="s">
        <v>298</v>
      </c>
      <c r="M8" s="1" t="s">
        <v>302</v>
      </c>
      <c r="N8" s="9">
        <f t="shared" si="3"/>
        <v>10.56</v>
      </c>
      <c r="O8" s="9">
        <f t="shared" si="4"/>
        <v>7.3</v>
      </c>
      <c r="P8" s="9">
        <v>0</v>
      </c>
      <c r="Q8" s="9">
        <v>0</v>
      </c>
      <c r="R8" s="12">
        <f t="shared" si="5"/>
        <v>11</v>
      </c>
      <c r="S8" s="12">
        <f t="shared" si="6"/>
        <v>7</v>
      </c>
      <c r="T8" s="12">
        <f t="shared" si="7"/>
        <v>18</v>
      </c>
      <c r="U8" s="1" t="str">
        <f t="shared" si="0"/>
        <v>fire</v>
      </c>
      <c r="V8" s="1" t="str">
        <f>IF(D8 = 0, "", D8)</f>
        <v>fighting</v>
      </c>
      <c r="W8" s="1" t="s">
        <v>33</v>
      </c>
      <c r="X8" s="1" t="s">
        <v>5</v>
      </c>
      <c r="Z8" s="12" t="str">
        <f>IF(ISBLANK(Y8), "", ROUND(( (T10-6)*(T10-7) - (T8-6)*(T8-7) )/15, 0) + 1)</f>
        <v/>
      </c>
      <c r="AA8" t="str">
        <f t="shared" si="2"/>
        <v>Infernape</v>
      </c>
      <c r="AC8" t="s">
        <v>824</v>
      </c>
      <c r="AD8" s="8" t="str">
        <f>VLOOKUP(AC8,moves!A:B,2,FALSE)</f>
        <v>fire</v>
      </c>
      <c r="AE8" s="8">
        <f>VLOOKUP(AC8,moves!A:D,4,FALSE)</f>
        <v>5</v>
      </c>
      <c r="AF8" s="8" t="str">
        <f>VLOOKUP(AC8,moves!A:E,5,FALSE)</f>
        <v>If this move was used last turn, attack strength is increased to 6 but inflict the Confused status on the user.</v>
      </c>
      <c r="AG8" s="6">
        <v>0</v>
      </c>
      <c r="AH8" s="6">
        <v>0</v>
      </c>
      <c r="AI8" s="8" t="str" cm="1">
        <f t="array" ref="AI8">_xlfn.IFS(AG8=1, "starter", AH8=1, "legendary",T8&lt; 13, "weak",T8&lt; 17, "moderate", TRUE, "strong")</f>
        <v>strong</v>
      </c>
      <c r="AK8">
        <v>3</v>
      </c>
      <c r="AL8" s="8">
        <v>0</v>
      </c>
      <c r="AM8" s="8">
        <v>1</v>
      </c>
    </row>
    <row r="9" spans="1:39" s="8" customFormat="1" x14ac:dyDescent="0.25">
      <c r="A9" s="9" t="s">
        <v>1295</v>
      </c>
      <c r="B9" s="9" t="s">
        <v>148</v>
      </c>
      <c r="C9" s="3" t="s">
        <v>4</v>
      </c>
      <c r="D9" s="3" t="s">
        <v>22</v>
      </c>
      <c r="E9" s="9">
        <v>76</v>
      </c>
      <c r="F9" s="9">
        <v>104</v>
      </c>
      <c r="G9" s="9">
        <v>71</v>
      </c>
      <c r="H9" s="9">
        <v>104</v>
      </c>
      <c r="I9" s="9">
        <v>71</v>
      </c>
      <c r="J9" s="9">
        <v>108</v>
      </c>
      <c r="K9" s="9" t="s">
        <v>325</v>
      </c>
      <c r="L9" s="9" t="s">
        <v>298</v>
      </c>
      <c r="M9" s="9" t="s">
        <v>302</v>
      </c>
      <c r="N9" s="9">
        <f t="shared" ref="N9" si="8">(0.4*J9 + 0.5*MAX(F9,H9) + 0.1*MIN(F9,H9)) / 10</f>
        <v>10.56</v>
      </c>
      <c r="O9" s="9">
        <f t="shared" ref="O9" si="9">(0.4*E9 + 0.3*G9 + 0.3*I9) / 10</f>
        <v>7.3</v>
      </c>
      <c r="P9" s="9">
        <v>1</v>
      </c>
      <c r="Q9" s="9">
        <v>2</v>
      </c>
      <c r="R9" s="12">
        <f t="shared" ref="R9" si="10">ROUND(N9,0)+P9</f>
        <v>12</v>
      </c>
      <c r="S9" s="12">
        <f t="shared" ref="S9" si="11">ROUND(O9,0)+Q9</f>
        <v>9</v>
      </c>
      <c r="T9" s="12">
        <f t="shared" ref="T9" si="12">SUM(ROUND(R9,0),ROUND(S9,0))</f>
        <v>21</v>
      </c>
      <c r="U9" s="9" t="str">
        <f t="shared" ref="U9" si="13">C9</f>
        <v>fire</v>
      </c>
      <c r="V9" s="9" t="str">
        <f>IF(D9 = 0, "", D9)</f>
        <v>fighting</v>
      </c>
      <c r="W9" s="9" t="s">
        <v>33</v>
      </c>
      <c r="X9" s="9" t="s">
        <v>5</v>
      </c>
      <c r="Y9" s="9"/>
      <c r="Z9" s="12" t="str">
        <f>IF(ISBLANK(Y9), "", ROUND(( (T11-6)*(T11-7) - (T9-6)*(T9-7) )/15, 0) + 1)</f>
        <v/>
      </c>
      <c r="AA9" s="8" t="str">
        <f t="shared" ref="AA9" si="14">B9</f>
        <v>Infernape</v>
      </c>
      <c r="AB9" s="9" t="s">
        <v>1338</v>
      </c>
      <c r="AC9" s="8" t="s">
        <v>824</v>
      </c>
      <c r="AD9" s="8" t="str">
        <f>VLOOKUP(AC9,moves!A:B,2,FALSE)</f>
        <v>fire</v>
      </c>
      <c r="AE9" s="8">
        <f>VLOOKUP(AC9,moves!A:D,4,FALSE)</f>
        <v>5</v>
      </c>
      <c r="AF9" s="8" t="str">
        <f>VLOOKUP(AC9,moves!A:E,5,FALSE)</f>
        <v>If this move was used last turn, attack strength is increased to 6 but inflict the Confused status on the user.</v>
      </c>
      <c r="AG9" s="11">
        <v>0</v>
      </c>
      <c r="AH9" s="11">
        <v>1</v>
      </c>
      <c r="AI9" s="8" t="str" cm="1">
        <f t="array" ref="AI9">_xlfn.IFS(AG9=1, "starter", AH9=1, "legendary",T9&lt; 13, "weak",T9&lt; 17, "moderate", TRUE, "strong")</f>
        <v>legendary</v>
      </c>
      <c r="AK9" s="8">
        <v>3</v>
      </c>
      <c r="AL9" s="8">
        <v>0</v>
      </c>
      <c r="AM9" s="8">
        <v>2</v>
      </c>
    </row>
    <row r="10" spans="1:39" x14ac:dyDescent="0.25">
      <c r="A10" s="9">
        <v>393</v>
      </c>
      <c r="B10" s="1" t="s">
        <v>149</v>
      </c>
      <c r="C10" s="3" t="s">
        <v>6</v>
      </c>
      <c r="E10" s="1">
        <v>53</v>
      </c>
      <c r="F10" s="1">
        <v>51</v>
      </c>
      <c r="G10" s="1">
        <v>53</v>
      </c>
      <c r="H10" s="1">
        <v>61</v>
      </c>
      <c r="I10" s="1">
        <v>56</v>
      </c>
      <c r="J10" s="1">
        <v>40</v>
      </c>
      <c r="K10" s="1" t="s">
        <v>326</v>
      </c>
      <c r="L10" s="1" t="s">
        <v>303</v>
      </c>
      <c r="M10" s="1" t="s">
        <v>299</v>
      </c>
      <c r="N10" s="9">
        <f t="shared" si="3"/>
        <v>5.16</v>
      </c>
      <c r="O10" s="9">
        <f t="shared" si="4"/>
        <v>5.3900000000000006</v>
      </c>
      <c r="P10" s="9">
        <v>0</v>
      </c>
      <c r="Q10" s="9">
        <v>0</v>
      </c>
      <c r="R10" s="12">
        <f t="shared" si="5"/>
        <v>5</v>
      </c>
      <c r="S10" s="12">
        <f t="shared" si="6"/>
        <v>5</v>
      </c>
      <c r="T10" s="12">
        <f t="shared" si="7"/>
        <v>10</v>
      </c>
      <c r="U10" s="1" t="str">
        <f t="shared" si="0"/>
        <v>water</v>
      </c>
      <c r="V10" s="1" t="s">
        <v>39</v>
      </c>
      <c r="W10" s="1" t="s">
        <v>5</v>
      </c>
      <c r="X10" s="1" t="s">
        <v>14</v>
      </c>
      <c r="Y10" s="1" t="str">
        <f>B11</f>
        <v>Prinplup</v>
      </c>
      <c r="Z10" s="12">
        <f t="shared" si="1"/>
        <v>4</v>
      </c>
      <c r="AA10" t="str">
        <f t="shared" si="2"/>
        <v>Piplup</v>
      </c>
      <c r="AC10" t="s">
        <v>1143</v>
      </c>
      <c r="AD10" s="8" t="str">
        <f>VLOOKUP(AC10,moves!A:B,2,FALSE)</f>
        <v>water</v>
      </c>
      <c r="AE10" s="8">
        <f>VLOOKUP(AC10,moves!A:D,4,FALSE)</f>
        <v>3</v>
      </c>
      <c r="AF10" s="8" t="str">
        <f>VLOOKUP(AC10,moves!A:E,5,FALSE)</f>
        <v>When the user next attacks, add 2 status symbols to the roll.</v>
      </c>
      <c r="AG10" s="6">
        <v>1</v>
      </c>
      <c r="AH10" s="6">
        <v>0</v>
      </c>
      <c r="AI10" s="8" t="str" cm="1">
        <f t="array" ref="AI10">_xlfn.IFS(AG10=1, "starter", AH10=1, "legendary",T10&lt; 13, "weak",T10&lt; 17, "moderate", TRUE, "strong")</f>
        <v>starter</v>
      </c>
      <c r="AK10">
        <v>1</v>
      </c>
      <c r="AL10" s="8">
        <v>0</v>
      </c>
      <c r="AM10" s="8">
        <v>0</v>
      </c>
    </row>
    <row r="11" spans="1:39" x14ac:dyDescent="0.25">
      <c r="A11" s="9">
        <v>394</v>
      </c>
      <c r="B11" s="1" t="s">
        <v>150</v>
      </c>
      <c r="C11" s="3" t="s">
        <v>6</v>
      </c>
      <c r="E11" s="1">
        <v>64</v>
      </c>
      <c r="F11" s="1">
        <v>66</v>
      </c>
      <c r="G11" s="1">
        <v>68</v>
      </c>
      <c r="H11" s="1">
        <v>81</v>
      </c>
      <c r="I11" s="1">
        <v>76</v>
      </c>
      <c r="J11" s="1">
        <v>50</v>
      </c>
      <c r="K11" s="1" t="s">
        <v>326</v>
      </c>
      <c r="L11" s="1" t="s">
        <v>303</v>
      </c>
      <c r="M11" s="1" t="s">
        <v>299</v>
      </c>
      <c r="N11" s="9">
        <f t="shared" si="3"/>
        <v>6.7099999999999991</v>
      </c>
      <c r="O11" s="9">
        <f t="shared" si="4"/>
        <v>6.88</v>
      </c>
      <c r="P11" s="9">
        <v>0</v>
      </c>
      <c r="Q11" s="9">
        <v>0</v>
      </c>
      <c r="R11" s="12">
        <f t="shared" si="5"/>
        <v>7</v>
      </c>
      <c r="S11" s="12">
        <f t="shared" si="6"/>
        <v>7</v>
      </c>
      <c r="T11" s="12">
        <f t="shared" si="7"/>
        <v>14</v>
      </c>
      <c r="U11" s="3" t="str">
        <f t="shared" si="0"/>
        <v>water</v>
      </c>
      <c r="V11" s="1" t="s">
        <v>39</v>
      </c>
      <c r="W11" s="1" t="s">
        <v>5</v>
      </c>
      <c r="X11" s="1" t="s">
        <v>14</v>
      </c>
      <c r="Y11" s="1" t="str">
        <f>B12</f>
        <v>Empoleon</v>
      </c>
      <c r="Z11" s="12">
        <f t="shared" si="1"/>
        <v>6</v>
      </c>
      <c r="AA11" t="str">
        <f t="shared" si="2"/>
        <v>Prinplup</v>
      </c>
      <c r="AC11" t="s">
        <v>612</v>
      </c>
      <c r="AD11" s="8" t="str">
        <f>VLOOKUP(AC11,moves!A:B,2,FALSE)</f>
        <v>steel</v>
      </c>
      <c r="AE11" s="8">
        <f>VLOOKUP(AC11,moves!A:D,4,FALSE)</f>
        <v>3</v>
      </c>
      <c r="AF11" s="8" t="str">
        <f>VLOOKUP(AC11,moves!A:E,5,FALSE)</f>
        <v>Status symbols deal +1 damage.</v>
      </c>
      <c r="AG11" s="6">
        <v>0</v>
      </c>
      <c r="AH11" s="6">
        <v>0</v>
      </c>
      <c r="AI11" s="8" t="str" cm="1">
        <f t="array" ref="AI11">_xlfn.IFS(AG11=1, "starter", AH11=1, "legendary",T11&lt; 13, "weak",T11&lt; 17, "moderate", TRUE, "strong")</f>
        <v>moderate</v>
      </c>
      <c r="AK11">
        <v>2</v>
      </c>
      <c r="AL11" s="8">
        <v>0</v>
      </c>
      <c r="AM11" s="8">
        <v>0</v>
      </c>
    </row>
    <row r="12" spans="1:39" x14ac:dyDescent="0.25">
      <c r="A12" s="9">
        <v>395</v>
      </c>
      <c r="B12" s="1" t="s">
        <v>151</v>
      </c>
      <c r="C12" s="3" t="s">
        <v>6</v>
      </c>
      <c r="D12" s="3" t="s">
        <v>39</v>
      </c>
      <c r="E12" s="1">
        <v>84</v>
      </c>
      <c r="F12" s="1">
        <v>86</v>
      </c>
      <c r="G12" s="1">
        <v>88</v>
      </c>
      <c r="H12" s="1">
        <v>111</v>
      </c>
      <c r="I12" s="1">
        <v>101</v>
      </c>
      <c r="J12" s="1">
        <v>60</v>
      </c>
      <c r="K12" s="1" t="s">
        <v>327</v>
      </c>
      <c r="L12" s="1" t="s">
        <v>303</v>
      </c>
      <c r="M12" s="1" t="s">
        <v>299</v>
      </c>
      <c r="N12" s="9">
        <f t="shared" si="3"/>
        <v>8.8099999999999987</v>
      </c>
      <c r="O12" s="9">
        <f t="shared" si="4"/>
        <v>9.0299999999999994</v>
      </c>
      <c r="P12" s="9">
        <v>0</v>
      </c>
      <c r="Q12" s="9">
        <v>0</v>
      </c>
      <c r="R12" s="12">
        <f t="shared" si="5"/>
        <v>9</v>
      </c>
      <c r="S12" s="12">
        <f t="shared" si="6"/>
        <v>9</v>
      </c>
      <c r="T12" s="12">
        <f t="shared" si="7"/>
        <v>18</v>
      </c>
      <c r="U12" s="1" t="str">
        <f t="shared" si="0"/>
        <v>water</v>
      </c>
      <c r="V12" s="1" t="s">
        <v>39</v>
      </c>
      <c r="W12" s="1" t="s">
        <v>5</v>
      </c>
      <c r="X12" s="1" t="s">
        <v>14</v>
      </c>
      <c r="Z12" s="12" t="str">
        <f>IF(ISBLANK(Y12), "", ROUND(( (T14-6)*(T14-7) - (T12-6)*(T12-7) )/15, 0) + 1)</f>
        <v/>
      </c>
      <c r="AA12" t="str">
        <f t="shared" si="2"/>
        <v>Empoleon</v>
      </c>
      <c r="AC12" t="s">
        <v>823</v>
      </c>
      <c r="AD12" s="8" t="str">
        <f>VLOOKUP(AC12,moves!A:B,2,FALSE)</f>
        <v>water</v>
      </c>
      <c r="AE12" s="8">
        <f>VLOOKUP(AC12,moves!A:D,4,FALSE)</f>
        <v>4</v>
      </c>
      <c r="AF12" s="8" t="str">
        <f>VLOOKUP(AC12,moves!A:E,5,FALSE)</f>
        <v>If the user knows another Water-type move, deal 2 extra damage. This move counts towards the effect of Surf.</v>
      </c>
      <c r="AG12" s="6">
        <v>0</v>
      </c>
      <c r="AH12" s="6">
        <v>0</v>
      </c>
      <c r="AI12" s="8" t="str" cm="1">
        <f t="array" ref="AI12">_xlfn.IFS(AG12=1, "starter", AH12=1, "legendary",T12&lt; 13, "weak",T12&lt; 17, "moderate", TRUE, "strong")</f>
        <v>strong</v>
      </c>
      <c r="AK12">
        <v>3</v>
      </c>
      <c r="AL12" s="8">
        <v>0</v>
      </c>
      <c r="AM12" s="8">
        <v>1</v>
      </c>
    </row>
    <row r="13" spans="1:39" s="8" customFormat="1" x14ac:dyDescent="0.25">
      <c r="A13" s="9" t="s">
        <v>1296</v>
      </c>
      <c r="B13" s="9" t="s">
        <v>151</v>
      </c>
      <c r="C13" s="3" t="s">
        <v>6</v>
      </c>
      <c r="D13" s="3" t="s">
        <v>39</v>
      </c>
      <c r="E13" s="9">
        <v>84</v>
      </c>
      <c r="F13" s="9">
        <v>86</v>
      </c>
      <c r="G13" s="9">
        <v>88</v>
      </c>
      <c r="H13" s="9">
        <v>111</v>
      </c>
      <c r="I13" s="9">
        <v>101</v>
      </c>
      <c r="J13" s="9">
        <v>60</v>
      </c>
      <c r="K13" s="9" t="s">
        <v>327</v>
      </c>
      <c r="L13" s="9" t="s">
        <v>303</v>
      </c>
      <c r="M13" s="9" t="s">
        <v>299</v>
      </c>
      <c r="N13" s="9">
        <f t="shared" ref="N13" si="15">(0.4*J13 + 0.5*MAX(F13,H13) + 0.1*MIN(F13,H13)) / 10</f>
        <v>8.8099999999999987</v>
      </c>
      <c r="O13" s="9">
        <f t="shared" ref="O13" si="16">(0.4*E13 + 0.3*G13 + 0.3*I13) / 10</f>
        <v>9.0299999999999994</v>
      </c>
      <c r="P13" s="9">
        <v>1</v>
      </c>
      <c r="Q13" s="9">
        <v>2</v>
      </c>
      <c r="R13" s="12">
        <f t="shared" ref="R13" si="17">ROUND(N13,0)+P13</f>
        <v>10</v>
      </c>
      <c r="S13" s="12">
        <f t="shared" ref="S13" si="18">ROUND(O13,0)+Q13</f>
        <v>11</v>
      </c>
      <c r="T13" s="12">
        <f t="shared" ref="T13" si="19">SUM(ROUND(R13,0),ROUND(S13,0))</f>
        <v>21</v>
      </c>
      <c r="U13" s="9" t="str">
        <f t="shared" ref="U13" si="20">C13</f>
        <v>water</v>
      </c>
      <c r="V13" s="9" t="s">
        <v>39</v>
      </c>
      <c r="W13" s="9" t="s">
        <v>5</v>
      </c>
      <c r="X13" s="9" t="s">
        <v>14</v>
      </c>
      <c r="Y13" s="9"/>
      <c r="Z13" s="12" t="str">
        <f>IF(ISBLANK(Y13), "", ROUND(( (T15-6)*(T15-7) - (T13-6)*(T13-7) )/15, 0) + 1)</f>
        <v/>
      </c>
      <c r="AA13" s="8" t="str">
        <f t="shared" ref="AA13" si="21">B13</f>
        <v>Empoleon</v>
      </c>
      <c r="AB13" s="9" t="s">
        <v>1338</v>
      </c>
      <c r="AC13" s="8" t="s">
        <v>823</v>
      </c>
      <c r="AD13" s="8" t="str">
        <f>VLOOKUP(AC13,moves!A:B,2,FALSE)</f>
        <v>water</v>
      </c>
      <c r="AE13" s="8">
        <f>VLOOKUP(AC13,moves!A:D,4,FALSE)</f>
        <v>4</v>
      </c>
      <c r="AF13" s="8" t="str">
        <f>VLOOKUP(AC13,moves!A:E,5,FALSE)</f>
        <v>If the user knows another Water-type move, deal 2 extra damage. This move counts towards the effect of Surf.</v>
      </c>
      <c r="AG13" s="11">
        <v>0</v>
      </c>
      <c r="AH13" s="11">
        <v>1</v>
      </c>
      <c r="AI13" s="8" t="str" cm="1">
        <f t="array" ref="AI13">_xlfn.IFS(AG13=1, "starter", AH13=1, "legendary",T13&lt; 13, "weak",T13&lt; 17, "moderate", TRUE, "strong")</f>
        <v>legendary</v>
      </c>
      <c r="AK13" s="8">
        <v>3</v>
      </c>
      <c r="AL13" s="8">
        <v>0</v>
      </c>
      <c r="AM13" s="8">
        <v>2</v>
      </c>
    </row>
    <row r="14" spans="1:39" x14ac:dyDescent="0.25">
      <c r="A14" s="9">
        <v>396</v>
      </c>
      <c r="B14" s="1" t="s">
        <v>152</v>
      </c>
      <c r="C14" s="3" t="s">
        <v>8</v>
      </c>
      <c r="D14" s="3" t="s">
        <v>5</v>
      </c>
      <c r="E14" s="1">
        <v>40</v>
      </c>
      <c r="F14" s="1">
        <v>55</v>
      </c>
      <c r="G14" s="1">
        <v>30</v>
      </c>
      <c r="H14" s="1">
        <v>30</v>
      </c>
      <c r="I14" s="1">
        <v>30</v>
      </c>
      <c r="J14" s="1">
        <v>60</v>
      </c>
      <c r="K14" s="1" t="s">
        <v>328</v>
      </c>
      <c r="L14" s="1" t="s">
        <v>304</v>
      </c>
      <c r="M14" s="1" t="s">
        <v>300</v>
      </c>
      <c r="N14" s="9">
        <f t="shared" si="3"/>
        <v>5.45</v>
      </c>
      <c r="O14" s="9">
        <f t="shared" si="4"/>
        <v>3.4</v>
      </c>
      <c r="P14" s="9">
        <v>1</v>
      </c>
      <c r="Q14" s="9">
        <v>1</v>
      </c>
      <c r="R14" s="12">
        <f t="shared" si="5"/>
        <v>6</v>
      </c>
      <c r="S14" s="12">
        <f t="shared" si="6"/>
        <v>4</v>
      </c>
      <c r="T14" s="12">
        <f t="shared" si="7"/>
        <v>10</v>
      </c>
      <c r="U14" s="1" t="str">
        <f t="shared" si="0"/>
        <v>normal</v>
      </c>
      <c r="V14" s="1" t="str">
        <f>IF(D14 = 0, "", D14)</f>
        <v>flying</v>
      </c>
      <c r="W14" s="1" t="s">
        <v>22</v>
      </c>
      <c r="X14" s="1" t="s">
        <v>39</v>
      </c>
      <c r="Y14" s="1" t="str">
        <f>B15</f>
        <v>Staravia</v>
      </c>
      <c r="Z14" s="12">
        <f t="shared" si="1"/>
        <v>3</v>
      </c>
      <c r="AA14" t="str">
        <f t="shared" si="2"/>
        <v>Starly</v>
      </c>
      <c r="AC14" t="s">
        <v>497</v>
      </c>
      <c r="AD14" s="8" t="str">
        <f>VLOOKUP(AC14,moves!A:B,2,FALSE)</f>
        <v>flying</v>
      </c>
      <c r="AE14" s="8">
        <f>VLOOKUP(AC14,moves!A:D,4,FALSE)</f>
        <v>3</v>
      </c>
      <c r="AF14" s="8" t="str">
        <f>VLOOKUP(AC14,moves!A:E,5,FALSE)</f>
        <v>When the target next attacks, remove a regular hit from the roll.</v>
      </c>
      <c r="AG14" s="6">
        <v>1</v>
      </c>
      <c r="AH14" s="6">
        <v>0</v>
      </c>
      <c r="AI14" s="8" t="str" cm="1">
        <f t="array" ref="AI14">_xlfn.IFS(AG14=1, "starter", AH14=1, "legendary",T14&lt; 13, "weak",T14&lt; 17, "moderate", TRUE, "strong")</f>
        <v>starter</v>
      </c>
      <c r="AK14">
        <v>1</v>
      </c>
      <c r="AL14" s="8">
        <v>0</v>
      </c>
      <c r="AM14" s="8">
        <v>0</v>
      </c>
    </row>
    <row r="15" spans="1:39" x14ac:dyDescent="0.25">
      <c r="A15" s="9">
        <v>397</v>
      </c>
      <c r="B15" s="1" t="s">
        <v>153</v>
      </c>
      <c r="C15" s="3" t="s">
        <v>8</v>
      </c>
      <c r="D15" s="3" t="s">
        <v>5</v>
      </c>
      <c r="E15" s="1">
        <v>55</v>
      </c>
      <c r="F15" s="1">
        <v>75</v>
      </c>
      <c r="G15" s="1">
        <v>50</v>
      </c>
      <c r="H15" s="1">
        <v>40</v>
      </c>
      <c r="I15" s="1">
        <v>40</v>
      </c>
      <c r="J15" s="1">
        <v>80</v>
      </c>
      <c r="K15" s="1" t="s">
        <v>328</v>
      </c>
      <c r="L15" s="1" t="s">
        <v>304</v>
      </c>
      <c r="M15" s="1" t="s">
        <v>300</v>
      </c>
      <c r="N15" s="9">
        <f t="shared" si="3"/>
        <v>7.35</v>
      </c>
      <c r="O15" s="9">
        <f t="shared" si="4"/>
        <v>4.9000000000000004</v>
      </c>
      <c r="P15" s="9">
        <v>0</v>
      </c>
      <c r="Q15" s="9">
        <v>1</v>
      </c>
      <c r="R15" s="12">
        <f t="shared" si="5"/>
        <v>7</v>
      </c>
      <c r="S15" s="12">
        <f t="shared" si="6"/>
        <v>6</v>
      </c>
      <c r="T15" s="12">
        <f t="shared" si="7"/>
        <v>13</v>
      </c>
      <c r="U15" s="1" t="str">
        <f t="shared" si="0"/>
        <v>normal</v>
      </c>
      <c r="V15" s="1" t="str">
        <f>IF(D15 = 0, "", D15)</f>
        <v>flying</v>
      </c>
      <c r="W15" s="1" t="s">
        <v>22</v>
      </c>
      <c r="X15" s="1" t="s">
        <v>39</v>
      </c>
      <c r="Y15" s="1" t="str">
        <f>B16</f>
        <v>Staraptor</v>
      </c>
      <c r="Z15" s="12">
        <f t="shared" si="1"/>
        <v>7</v>
      </c>
      <c r="AA15" t="str">
        <f t="shared" si="2"/>
        <v>Staravia</v>
      </c>
      <c r="AC15" t="s">
        <v>892</v>
      </c>
      <c r="AD15" s="8" t="str">
        <f>VLOOKUP(AC15,moves!A:B,2,FALSE)</f>
        <v>steel</v>
      </c>
      <c r="AE15" s="8">
        <f>VLOOKUP(AC15,moves!A:D,4,FALSE)</f>
        <v>3</v>
      </c>
      <c r="AF15" s="8" t="str">
        <f>VLOOKUP(AC15,moves!A:E,5,FALSE)</f>
        <v>When the user is next attacked, remove a regular hit from the roll.</v>
      </c>
      <c r="AG15" s="6">
        <v>0</v>
      </c>
      <c r="AH15" s="6">
        <v>0</v>
      </c>
      <c r="AI15" s="8" t="str" cm="1">
        <f t="array" ref="AI15">_xlfn.IFS(AG15=1, "starter", AH15=1, "legendary",T15&lt; 13, "weak",T15&lt; 17, "moderate", TRUE, "strong")</f>
        <v>moderate</v>
      </c>
      <c r="AK15">
        <v>2</v>
      </c>
      <c r="AL15" s="8">
        <v>0</v>
      </c>
      <c r="AM15" s="8">
        <v>0</v>
      </c>
    </row>
    <row r="16" spans="1:39" x14ac:dyDescent="0.25">
      <c r="A16" s="9">
        <v>398</v>
      </c>
      <c r="B16" s="1" t="s">
        <v>154</v>
      </c>
      <c r="C16" s="3" t="s">
        <v>8</v>
      </c>
      <c r="D16" s="3" t="s">
        <v>5</v>
      </c>
      <c r="E16" s="1">
        <v>85</v>
      </c>
      <c r="F16" s="1">
        <v>120</v>
      </c>
      <c r="G16" s="1">
        <v>70</v>
      </c>
      <c r="H16" s="1">
        <v>50</v>
      </c>
      <c r="I16" s="1">
        <v>60</v>
      </c>
      <c r="J16" s="1">
        <v>100</v>
      </c>
      <c r="K16" s="1" t="s">
        <v>329</v>
      </c>
      <c r="L16" s="1" t="s">
        <v>304</v>
      </c>
      <c r="M16" s="1" t="s">
        <v>300</v>
      </c>
      <c r="N16" s="9">
        <f t="shared" si="3"/>
        <v>10.5</v>
      </c>
      <c r="O16" s="9">
        <f t="shared" si="4"/>
        <v>7.3</v>
      </c>
      <c r="P16" s="9">
        <v>0</v>
      </c>
      <c r="Q16" s="9">
        <v>0</v>
      </c>
      <c r="R16" s="12">
        <f t="shared" si="5"/>
        <v>11</v>
      </c>
      <c r="S16" s="12">
        <f t="shared" si="6"/>
        <v>7</v>
      </c>
      <c r="T16" s="12">
        <f t="shared" si="7"/>
        <v>18</v>
      </c>
      <c r="U16" s="1" t="str">
        <f t="shared" si="0"/>
        <v>normal</v>
      </c>
      <c r="V16" s="1" t="str">
        <f>IF(D16 = 0, "", D16)</f>
        <v>flying</v>
      </c>
      <c r="W16" s="1" t="s">
        <v>22</v>
      </c>
      <c r="X16" s="1" t="s">
        <v>39</v>
      </c>
      <c r="Z16" s="12" t="str">
        <f>IF(ISBLANK(Y16), "", ROUND(( (T18-6)*(T18-7) - (T16-6)*(T16-7) )/15, 0) + 1)</f>
        <v/>
      </c>
      <c r="AA16" t="str">
        <f t="shared" si="2"/>
        <v>Staraptor</v>
      </c>
      <c r="AC16" t="s">
        <v>495</v>
      </c>
      <c r="AD16" s="8" t="str">
        <f>VLOOKUP(AC16,moves!A:B,2,FALSE)</f>
        <v>fighting</v>
      </c>
      <c r="AE16" s="8">
        <f>VLOOKUP(AC16,moves!A:D,4,FALSE)</f>
        <v>5</v>
      </c>
      <c r="AF16" s="8" t="str">
        <f>VLOOKUP(AC16,moves!A:E,5,FALSE)</f>
        <v xml:space="preserve">During this attack and when the user is next attacked, status symbols deal +1 damage. </v>
      </c>
      <c r="AG16" s="6">
        <v>0</v>
      </c>
      <c r="AH16" s="6">
        <v>0</v>
      </c>
      <c r="AI16" s="8" t="str" cm="1">
        <f t="array" ref="AI16">_xlfn.IFS(AG16=1, "starter", AH16=1, "legendary",T16&lt; 13, "weak",T16&lt; 17, "moderate", TRUE, "strong")</f>
        <v>strong</v>
      </c>
      <c r="AK16">
        <v>3</v>
      </c>
      <c r="AL16" s="8">
        <v>0</v>
      </c>
      <c r="AM16" s="8">
        <v>1</v>
      </c>
    </row>
    <row r="17" spans="1:39" s="8" customFormat="1" x14ac:dyDescent="0.25">
      <c r="A17" s="9" t="s">
        <v>1297</v>
      </c>
      <c r="B17" s="9" t="s">
        <v>154</v>
      </c>
      <c r="C17" s="3" t="s">
        <v>8</v>
      </c>
      <c r="D17" s="3" t="s">
        <v>5</v>
      </c>
      <c r="E17" s="9">
        <v>85</v>
      </c>
      <c r="F17" s="9">
        <v>120</v>
      </c>
      <c r="G17" s="9">
        <v>70</v>
      </c>
      <c r="H17" s="9">
        <v>50</v>
      </c>
      <c r="I17" s="9">
        <v>60</v>
      </c>
      <c r="J17" s="9">
        <v>100</v>
      </c>
      <c r="K17" s="9" t="s">
        <v>329</v>
      </c>
      <c r="L17" s="9" t="s">
        <v>304</v>
      </c>
      <c r="M17" s="9" t="s">
        <v>300</v>
      </c>
      <c r="N17" s="9">
        <f t="shared" ref="N17" si="22">(0.4*J17 + 0.5*MAX(F17,H17) + 0.1*MIN(F17,H17)) / 10</f>
        <v>10.5</v>
      </c>
      <c r="O17" s="9">
        <f t="shared" ref="O17" si="23">(0.4*E17 + 0.3*G17 + 0.3*I17) / 10</f>
        <v>7.3</v>
      </c>
      <c r="P17" s="9">
        <v>1</v>
      </c>
      <c r="Q17" s="9">
        <v>2</v>
      </c>
      <c r="R17" s="12">
        <f t="shared" ref="R17" si="24">ROUND(N17,0)+P17</f>
        <v>12</v>
      </c>
      <c r="S17" s="12">
        <f t="shared" ref="S17" si="25">ROUND(O17,0)+Q17</f>
        <v>9</v>
      </c>
      <c r="T17" s="12">
        <f t="shared" ref="T17" si="26">SUM(ROUND(R17,0),ROUND(S17,0))</f>
        <v>21</v>
      </c>
      <c r="U17" s="9" t="str">
        <f t="shared" ref="U17" si="27">C17</f>
        <v>normal</v>
      </c>
      <c r="V17" s="9" t="str">
        <f>IF(D17 = 0, "", D17)</f>
        <v>flying</v>
      </c>
      <c r="W17" s="9" t="s">
        <v>22</v>
      </c>
      <c r="X17" s="9" t="s">
        <v>39</v>
      </c>
      <c r="Y17" s="9"/>
      <c r="Z17" s="12" t="str">
        <f>IF(ISBLANK(Y17), "", ROUND(( (T19-6)*(T19-7) - (T17-6)*(T17-7) )/15, 0) + 1)</f>
        <v/>
      </c>
      <c r="AA17" s="8" t="str">
        <f t="shared" ref="AA17" si="28">B17</f>
        <v>Staraptor</v>
      </c>
      <c r="AB17" s="9" t="s">
        <v>1338</v>
      </c>
      <c r="AC17" s="8" t="s">
        <v>495</v>
      </c>
      <c r="AD17" s="8" t="str">
        <f>VLOOKUP(AC17,moves!A:B,2,FALSE)</f>
        <v>fighting</v>
      </c>
      <c r="AE17" s="8">
        <f>VLOOKUP(AC17,moves!A:D,4,FALSE)</f>
        <v>5</v>
      </c>
      <c r="AF17" s="8" t="str">
        <f>VLOOKUP(AC17,moves!A:E,5,FALSE)</f>
        <v xml:space="preserve">During this attack and when the user is next attacked, status symbols deal +1 damage. </v>
      </c>
      <c r="AG17" s="11">
        <v>0</v>
      </c>
      <c r="AH17" s="11">
        <v>1</v>
      </c>
      <c r="AI17" s="8" t="str" cm="1">
        <f t="array" ref="AI17">_xlfn.IFS(AG17=1, "starter", AH17=1, "legendary",T17&lt; 13, "weak",T17&lt; 17, "moderate", TRUE, "strong")</f>
        <v>legendary</v>
      </c>
      <c r="AK17" s="8">
        <v>3</v>
      </c>
      <c r="AL17" s="8">
        <v>0</v>
      </c>
      <c r="AM17" s="8">
        <v>2</v>
      </c>
    </row>
    <row r="18" spans="1:39" x14ac:dyDescent="0.25">
      <c r="A18" s="9">
        <v>399</v>
      </c>
      <c r="B18" s="1" t="s">
        <v>155</v>
      </c>
      <c r="C18" s="3" t="s">
        <v>8</v>
      </c>
      <c r="E18" s="1">
        <v>59</v>
      </c>
      <c r="F18" s="1">
        <v>45</v>
      </c>
      <c r="G18" s="1">
        <v>40</v>
      </c>
      <c r="H18" s="1">
        <v>35</v>
      </c>
      <c r="I18" s="1">
        <v>40</v>
      </c>
      <c r="J18" s="1">
        <v>31</v>
      </c>
      <c r="K18" s="1" t="s">
        <v>330</v>
      </c>
      <c r="L18" s="1" t="s">
        <v>301</v>
      </c>
      <c r="M18" s="1" t="s">
        <v>300</v>
      </c>
      <c r="N18" s="9">
        <f t="shared" si="3"/>
        <v>3.84</v>
      </c>
      <c r="O18" s="9">
        <f t="shared" si="4"/>
        <v>4.76</v>
      </c>
      <c r="P18" s="9">
        <v>0</v>
      </c>
      <c r="Q18" s="9">
        <v>0</v>
      </c>
      <c r="R18" s="12">
        <f t="shared" si="5"/>
        <v>4</v>
      </c>
      <c r="S18" s="12">
        <f t="shared" si="6"/>
        <v>5</v>
      </c>
      <c r="T18" s="12">
        <f t="shared" si="7"/>
        <v>9</v>
      </c>
      <c r="U18" s="1" t="str">
        <f t="shared" si="0"/>
        <v>normal</v>
      </c>
      <c r="V18" s="1" t="s">
        <v>6</v>
      </c>
      <c r="W18" s="1" t="s">
        <v>22</v>
      </c>
      <c r="X18" s="1" t="s">
        <v>11</v>
      </c>
      <c r="Y18" s="1" t="str">
        <f>B19</f>
        <v>Bibarel</v>
      </c>
      <c r="Z18" s="12">
        <f t="shared" si="1"/>
        <v>5</v>
      </c>
      <c r="AA18" t="str">
        <f t="shared" si="2"/>
        <v>Bidoof</v>
      </c>
      <c r="AC18" t="s">
        <v>513</v>
      </c>
      <c r="AD18" s="8" t="str">
        <f>VLOOKUP(AC18,moves!A:B,2,FALSE)</f>
        <v>normal</v>
      </c>
      <c r="AE18" s="8">
        <f>VLOOKUP(AC18,moves!A:D,4,FALSE)</f>
        <v>2</v>
      </c>
      <c r="AF18" s="8" t="str">
        <f>VLOOKUP(AC18,moves!A:E,5,FALSE)</f>
        <v>When the target next attacks, remove a regular hit from the roll.</v>
      </c>
      <c r="AG18" s="6">
        <v>0</v>
      </c>
      <c r="AH18" s="6">
        <v>0</v>
      </c>
      <c r="AI18" s="8" t="str" cm="1">
        <f t="array" ref="AI18">_xlfn.IFS(AG18=1, "starter", AH18=1, "legendary",T18&lt; 13, "weak",T18&lt; 17, "moderate", TRUE, "strong")</f>
        <v>weak</v>
      </c>
      <c r="AK18">
        <v>1</v>
      </c>
      <c r="AL18" s="8">
        <v>0</v>
      </c>
      <c r="AM18" s="8">
        <v>0</v>
      </c>
    </row>
    <row r="19" spans="1:39" x14ac:dyDescent="0.25">
      <c r="A19" s="9">
        <v>400</v>
      </c>
      <c r="B19" s="1" t="s">
        <v>156</v>
      </c>
      <c r="C19" s="3" t="s">
        <v>8</v>
      </c>
      <c r="D19" s="3" t="s">
        <v>6</v>
      </c>
      <c r="E19" s="1">
        <v>79</v>
      </c>
      <c r="F19" s="1">
        <v>85</v>
      </c>
      <c r="G19" s="1">
        <v>60</v>
      </c>
      <c r="H19" s="1">
        <v>55</v>
      </c>
      <c r="I19" s="1">
        <v>60</v>
      </c>
      <c r="J19" s="1">
        <v>71</v>
      </c>
      <c r="K19" s="1" t="s">
        <v>331</v>
      </c>
      <c r="L19" s="1" t="s">
        <v>301</v>
      </c>
      <c r="M19" s="1" t="s">
        <v>300</v>
      </c>
      <c r="N19" s="9">
        <f t="shared" si="3"/>
        <v>7.6400000000000006</v>
      </c>
      <c r="O19" s="9">
        <f t="shared" si="4"/>
        <v>6.76</v>
      </c>
      <c r="P19" s="9">
        <v>0</v>
      </c>
      <c r="Q19" s="9">
        <v>0</v>
      </c>
      <c r="R19" s="12">
        <f t="shared" si="5"/>
        <v>8</v>
      </c>
      <c r="S19" s="12">
        <f t="shared" si="6"/>
        <v>7</v>
      </c>
      <c r="T19" s="12">
        <f t="shared" si="7"/>
        <v>15</v>
      </c>
      <c r="U19" s="1" t="str">
        <f t="shared" si="0"/>
        <v>normal</v>
      </c>
      <c r="V19" s="1" t="str">
        <f>IF(D19 = 0, "", D19)</f>
        <v>water</v>
      </c>
      <c r="W19" s="1" t="s">
        <v>22</v>
      </c>
      <c r="X19" s="1" t="s">
        <v>11</v>
      </c>
      <c r="Z19" s="12" t="str">
        <f t="shared" si="1"/>
        <v/>
      </c>
      <c r="AA19" t="str">
        <f t="shared" si="2"/>
        <v>Bibarel</v>
      </c>
      <c r="AC19" t="s">
        <v>589</v>
      </c>
      <c r="AD19" s="8" t="str">
        <f>VLOOKUP(AC19,moves!A:B,2,FALSE)</f>
        <v>water</v>
      </c>
      <c r="AE19" s="8">
        <f>VLOOKUP(AC19,moves!A:D,4,FALSE)</f>
        <v>4</v>
      </c>
      <c r="AF19" s="8" t="str">
        <f>VLOOKUP(AC19,moves!A:E,5,FALSE)</f>
        <v>For each other non-fainted Pokémon in your party with the move Surf: Attack strength is increased by 1.</v>
      </c>
      <c r="AG19" s="6">
        <v>0</v>
      </c>
      <c r="AH19" s="6">
        <v>0</v>
      </c>
      <c r="AI19" s="8" t="str" cm="1">
        <f t="array" ref="AI19">_xlfn.IFS(AG19=1, "starter", AH19=1, "legendary",T19&lt; 13, "weak",T19&lt; 17, "moderate", TRUE, "strong")</f>
        <v>moderate</v>
      </c>
      <c r="AK19">
        <v>2</v>
      </c>
      <c r="AL19" s="8">
        <v>0</v>
      </c>
      <c r="AM19" s="8">
        <v>0</v>
      </c>
    </row>
    <row r="20" spans="1:39" x14ac:dyDescent="0.25">
      <c r="A20" s="9">
        <v>401</v>
      </c>
      <c r="B20" s="1" t="s">
        <v>157</v>
      </c>
      <c r="C20" s="3" t="s">
        <v>7</v>
      </c>
      <c r="E20" s="1">
        <v>37</v>
      </c>
      <c r="F20" s="1">
        <v>25</v>
      </c>
      <c r="G20" s="1">
        <v>41</v>
      </c>
      <c r="H20" s="1">
        <v>25</v>
      </c>
      <c r="I20" s="1">
        <v>41</v>
      </c>
      <c r="J20" s="1">
        <v>25</v>
      </c>
      <c r="K20" s="1" t="s">
        <v>332</v>
      </c>
      <c r="L20" s="1" t="s">
        <v>301</v>
      </c>
      <c r="M20" s="9" t="s">
        <v>302</v>
      </c>
      <c r="N20" s="9">
        <f t="shared" si="3"/>
        <v>2.5</v>
      </c>
      <c r="O20" s="9">
        <f t="shared" si="4"/>
        <v>3.94</v>
      </c>
      <c r="P20" s="9">
        <v>0</v>
      </c>
      <c r="Q20" s="9">
        <v>0</v>
      </c>
      <c r="R20" s="12">
        <f t="shared" si="5"/>
        <v>3</v>
      </c>
      <c r="S20" s="12">
        <f t="shared" si="6"/>
        <v>4</v>
      </c>
      <c r="T20" s="12">
        <f t="shared" si="7"/>
        <v>7</v>
      </c>
      <c r="U20" s="1" t="str">
        <f t="shared" si="0"/>
        <v>bug</v>
      </c>
      <c r="V20" s="1" t="s">
        <v>8</v>
      </c>
      <c r="W20" s="1" t="s">
        <v>9</v>
      </c>
      <c r="X20" s="1" t="s">
        <v>2</v>
      </c>
      <c r="Y20" s="1" t="str">
        <f>B21</f>
        <v>Kricketune</v>
      </c>
      <c r="Z20" s="12">
        <f t="shared" si="1"/>
        <v>4</v>
      </c>
      <c r="AA20" t="str">
        <f t="shared" si="2"/>
        <v>Kricketot</v>
      </c>
      <c r="AC20" t="s">
        <v>934</v>
      </c>
      <c r="AD20" s="8" t="str">
        <f>VLOOKUP(AC20,moves!A:B,2,FALSE)</f>
        <v>bug</v>
      </c>
      <c r="AE20" s="8">
        <f>VLOOKUP(AC20,moves!A:D,4,FALSE)</f>
        <v>2</v>
      </c>
      <c r="AF20" s="8" t="str">
        <f>VLOOKUP(AC20,moves!A:E,5,FALSE)</f>
        <v>When the user is next attacked, remove a critical hit from the roll.</v>
      </c>
      <c r="AG20" s="6">
        <v>0</v>
      </c>
      <c r="AH20" s="6">
        <v>0</v>
      </c>
      <c r="AI20" s="8" t="str" cm="1">
        <f t="array" ref="AI20">_xlfn.IFS(AG20=1, "starter", AH20=1, "legendary",T20&lt; 13, "weak",T20&lt; 17, "moderate", TRUE, "strong")</f>
        <v>weak</v>
      </c>
      <c r="AK20">
        <v>1</v>
      </c>
      <c r="AL20" s="8">
        <v>0</v>
      </c>
      <c r="AM20" s="8">
        <v>0</v>
      </c>
    </row>
    <row r="21" spans="1:39" x14ac:dyDescent="0.25">
      <c r="A21" s="9">
        <v>402</v>
      </c>
      <c r="B21" s="1" t="s">
        <v>158</v>
      </c>
      <c r="C21" s="3" t="s">
        <v>7</v>
      </c>
      <c r="E21" s="1">
        <v>77</v>
      </c>
      <c r="F21" s="1">
        <v>85</v>
      </c>
      <c r="G21" s="1">
        <v>51</v>
      </c>
      <c r="H21" s="1">
        <v>55</v>
      </c>
      <c r="I21" s="1">
        <v>51</v>
      </c>
      <c r="J21" s="1">
        <v>65</v>
      </c>
      <c r="K21" s="1" t="s">
        <v>332</v>
      </c>
      <c r="L21" s="1" t="s">
        <v>301</v>
      </c>
      <c r="M21" s="9" t="s">
        <v>302</v>
      </c>
      <c r="N21" s="9">
        <f t="shared" si="3"/>
        <v>7.4</v>
      </c>
      <c r="O21" s="9">
        <f t="shared" si="4"/>
        <v>6.14</v>
      </c>
      <c r="P21" s="9">
        <v>0</v>
      </c>
      <c r="Q21" s="9">
        <v>0</v>
      </c>
      <c r="R21" s="12">
        <f t="shared" si="5"/>
        <v>7</v>
      </c>
      <c r="S21" s="12">
        <f t="shared" si="6"/>
        <v>6</v>
      </c>
      <c r="T21" s="12">
        <f t="shared" si="7"/>
        <v>13</v>
      </c>
      <c r="U21" s="1" t="str">
        <f t="shared" si="0"/>
        <v>bug</v>
      </c>
      <c r="V21" s="1" t="s">
        <v>8</v>
      </c>
      <c r="W21" s="1" t="s">
        <v>9</v>
      </c>
      <c r="X21" s="1" t="s">
        <v>2</v>
      </c>
      <c r="Z21" s="12" t="str">
        <f t="shared" si="1"/>
        <v/>
      </c>
      <c r="AA21" t="str">
        <f t="shared" si="2"/>
        <v>Kricketune</v>
      </c>
      <c r="AC21" t="s">
        <v>548</v>
      </c>
      <c r="AD21" s="8" t="str">
        <f>VLOOKUP(AC21,moves!A:B,2,FALSE)</f>
        <v>normal</v>
      </c>
      <c r="AE21" s="8">
        <f>VLOOKUP(AC21,moves!A:D,4,FALSE)</f>
        <v>1</v>
      </c>
      <c r="AF21" s="8" t="str">
        <f>VLOOKUP(AC21,moves!A:E,5,FALSE)</f>
        <v>When the target is next attacked, add 2 critical hits to the roll.</v>
      </c>
      <c r="AG21" s="6">
        <v>0</v>
      </c>
      <c r="AH21" s="6">
        <v>0</v>
      </c>
      <c r="AI21" s="8" t="str" cm="1">
        <f t="array" ref="AI21">_xlfn.IFS(AG21=1, "starter", AH21=1, "legendary",T21&lt; 13, "weak",T21&lt; 17, "moderate", TRUE, "strong")</f>
        <v>moderate</v>
      </c>
      <c r="AK21">
        <v>2</v>
      </c>
      <c r="AL21" s="8">
        <v>0</v>
      </c>
      <c r="AM21" s="8">
        <v>0</v>
      </c>
    </row>
    <row r="22" spans="1:39" x14ac:dyDescent="0.25">
      <c r="A22" s="9">
        <v>403</v>
      </c>
      <c r="B22" s="1" t="s">
        <v>159</v>
      </c>
      <c r="C22" s="3" t="s">
        <v>11</v>
      </c>
      <c r="E22" s="1">
        <v>45</v>
      </c>
      <c r="F22" s="1">
        <v>65</v>
      </c>
      <c r="G22" s="1">
        <v>34</v>
      </c>
      <c r="H22" s="1">
        <v>40</v>
      </c>
      <c r="I22" s="1">
        <v>34</v>
      </c>
      <c r="J22" s="1">
        <v>45</v>
      </c>
      <c r="K22" s="1" t="s">
        <v>333</v>
      </c>
      <c r="L22" s="1" t="s">
        <v>301</v>
      </c>
      <c r="M22" s="1" t="s">
        <v>302</v>
      </c>
      <c r="N22" s="9">
        <f t="shared" si="3"/>
        <v>5.45</v>
      </c>
      <c r="O22" s="9">
        <f t="shared" si="4"/>
        <v>3.84</v>
      </c>
      <c r="P22" s="9">
        <v>1</v>
      </c>
      <c r="Q22" s="9">
        <v>0</v>
      </c>
      <c r="R22" s="12">
        <f t="shared" si="5"/>
        <v>6</v>
      </c>
      <c r="S22" s="12">
        <f t="shared" si="6"/>
        <v>4</v>
      </c>
      <c r="T22" s="12">
        <f t="shared" si="7"/>
        <v>10</v>
      </c>
      <c r="U22" s="1" t="str">
        <f t="shared" si="0"/>
        <v>electric</v>
      </c>
      <c r="V22" s="1" t="s">
        <v>9</v>
      </c>
      <c r="W22" s="1" t="s">
        <v>8</v>
      </c>
      <c r="X22" s="1" t="s">
        <v>22</v>
      </c>
      <c r="Y22" s="1" t="str">
        <f>B23</f>
        <v>Luxio</v>
      </c>
      <c r="Z22" s="12">
        <f t="shared" si="1"/>
        <v>3</v>
      </c>
      <c r="AA22" t="str">
        <f t="shared" si="2"/>
        <v>Shinx</v>
      </c>
      <c r="AC22" t="s">
        <v>484</v>
      </c>
      <c r="AD22" s="8" t="str">
        <f>VLOOKUP(AC22,moves!A:B,2,FALSE)</f>
        <v>electric</v>
      </c>
      <c r="AE22" s="8">
        <f>VLOOKUP(AC22,moves!A:D,4,FALSE)</f>
        <v>3</v>
      </c>
      <c r="AF22" s="8" t="str">
        <f>VLOOKUP(AC22,moves!A:E,5,FALSE)</f>
        <v>The user may switch out.</v>
      </c>
      <c r="AG22" s="6">
        <v>1</v>
      </c>
      <c r="AH22" s="6">
        <v>0</v>
      </c>
      <c r="AI22" s="8" t="str" cm="1">
        <f t="array" ref="AI22">_xlfn.IFS(AG22=1, "starter", AH22=1, "legendary",T22&lt; 13, "weak",T22&lt; 17, "moderate", TRUE, "strong")</f>
        <v>starter</v>
      </c>
      <c r="AK22">
        <v>1</v>
      </c>
      <c r="AL22" s="8">
        <v>0</v>
      </c>
      <c r="AM22" s="8">
        <v>0</v>
      </c>
    </row>
    <row r="23" spans="1:39" x14ac:dyDescent="0.25">
      <c r="A23" s="9">
        <v>404</v>
      </c>
      <c r="B23" s="1" t="s">
        <v>160</v>
      </c>
      <c r="C23" s="3" t="s">
        <v>11</v>
      </c>
      <c r="E23" s="1">
        <v>60</v>
      </c>
      <c r="F23" s="1">
        <v>85</v>
      </c>
      <c r="G23" s="1">
        <v>49</v>
      </c>
      <c r="H23" s="1">
        <v>60</v>
      </c>
      <c r="I23" s="1">
        <v>49</v>
      </c>
      <c r="J23" s="1">
        <v>60</v>
      </c>
      <c r="K23" s="1" t="s">
        <v>334</v>
      </c>
      <c r="L23" s="1" t="s">
        <v>301</v>
      </c>
      <c r="M23" s="1" t="s">
        <v>302</v>
      </c>
      <c r="N23" s="9">
        <f t="shared" si="3"/>
        <v>7.25</v>
      </c>
      <c r="O23" s="9">
        <f t="shared" si="4"/>
        <v>5.3400000000000007</v>
      </c>
      <c r="P23" s="9">
        <v>0</v>
      </c>
      <c r="Q23" s="9">
        <v>1</v>
      </c>
      <c r="R23" s="12">
        <f t="shared" si="5"/>
        <v>7</v>
      </c>
      <c r="S23" s="12">
        <f t="shared" si="6"/>
        <v>6</v>
      </c>
      <c r="T23" s="12">
        <f t="shared" si="7"/>
        <v>13</v>
      </c>
      <c r="U23" s="1" t="str">
        <f t="shared" si="0"/>
        <v>electric</v>
      </c>
      <c r="V23" s="1" t="s">
        <v>9</v>
      </c>
      <c r="W23" s="1" t="s">
        <v>8</v>
      </c>
      <c r="X23" s="1" t="s">
        <v>22</v>
      </c>
      <c r="Y23" s="1" t="str">
        <f>B24</f>
        <v>Luxray</v>
      </c>
      <c r="Z23" s="12">
        <f t="shared" si="1"/>
        <v>7</v>
      </c>
      <c r="AA23" t="str">
        <f t="shared" si="2"/>
        <v>Luxio</v>
      </c>
      <c r="AC23" t="s">
        <v>530</v>
      </c>
      <c r="AD23" s="8" t="str">
        <f>VLOOKUP(AC23,moves!A:B,2,FALSE)</f>
        <v>dark</v>
      </c>
      <c r="AE23" s="8">
        <f>VLOOKUP(AC23,moves!A:D,4,FALSE)</f>
        <v>3</v>
      </c>
      <c r="AF23" s="8" t="str">
        <f>VLOOKUP(AC23,moves!A:E,5,FALSE)</f>
        <v>When the target is next attacked, add a regular hit to the roll.</v>
      </c>
      <c r="AG23" s="6">
        <v>0</v>
      </c>
      <c r="AH23" s="6">
        <v>0</v>
      </c>
      <c r="AI23" s="8" t="str" cm="1">
        <f t="array" ref="AI23">_xlfn.IFS(AG23=1, "starter", AH23=1, "legendary",T23&lt; 13, "weak",T23&lt; 17, "moderate", TRUE, "strong")</f>
        <v>moderate</v>
      </c>
      <c r="AK23">
        <v>2</v>
      </c>
      <c r="AL23" s="8">
        <v>0</v>
      </c>
      <c r="AM23" s="8">
        <v>0</v>
      </c>
    </row>
    <row r="24" spans="1:39" x14ac:dyDescent="0.25">
      <c r="A24" s="9">
        <v>405</v>
      </c>
      <c r="B24" s="1" t="s">
        <v>161</v>
      </c>
      <c r="C24" s="3" t="s">
        <v>11</v>
      </c>
      <c r="E24" s="1">
        <v>80</v>
      </c>
      <c r="F24" s="1">
        <v>120</v>
      </c>
      <c r="G24" s="1">
        <v>79</v>
      </c>
      <c r="H24" s="1">
        <v>95</v>
      </c>
      <c r="I24" s="1">
        <v>79</v>
      </c>
      <c r="J24" s="1">
        <v>70</v>
      </c>
      <c r="K24" s="1" t="s">
        <v>335</v>
      </c>
      <c r="L24" s="1" t="s">
        <v>301</v>
      </c>
      <c r="M24" s="1" t="s">
        <v>302</v>
      </c>
      <c r="N24" s="9">
        <f t="shared" si="3"/>
        <v>9.75</v>
      </c>
      <c r="O24" s="9">
        <f t="shared" si="4"/>
        <v>7.94</v>
      </c>
      <c r="P24" s="9">
        <v>0</v>
      </c>
      <c r="Q24" s="9">
        <v>0</v>
      </c>
      <c r="R24" s="12">
        <f t="shared" si="5"/>
        <v>10</v>
      </c>
      <c r="S24" s="12">
        <f t="shared" si="6"/>
        <v>8</v>
      </c>
      <c r="T24" s="12">
        <f t="shared" si="7"/>
        <v>18</v>
      </c>
      <c r="U24" s="1" t="str">
        <f t="shared" si="0"/>
        <v>electric</v>
      </c>
      <c r="V24" s="1" t="s">
        <v>9</v>
      </c>
      <c r="W24" s="1" t="s">
        <v>8</v>
      </c>
      <c r="X24" s="1" t="s">
        <v>22</v>
      </c>
      <c r="Z24" s="12" t="str">
        <f>IF(ISBLANK(Y24), "", ROUND(( (T26-6)*(T26-7) - (T24-6)*(T24-7) )/15, 0) + 1)</f>
        <v/>
      </c>
      <c r="AA24" t="str">
        <f t="shared" si="2"/>
        <v>Luxray</v>
      </c>
      <c r="AC24" t="s">
        <v>699</v>
      </c>
      <c r="AD24" s="8" t="str">
        <f>VLOOKUP(AC24,moves!A:B,2,FALSE)</f>
        <v>electric</v>
      </c>
      <c r="AE24" s="8">
        <f>VLOOKUP(AC24,moves!A:D,4,FALSE)</f>
        <v>4</v>
      </c>
      <c r="AF24" s="8" t="str">
        <f>VLOOKUP(AC24,moves!A:E,5,FALSE)</f>
        <v>If the user knows another Electric-type move, deal 2 extra damage.</v>
      </c>
      <c r="AG24" s="6">
        <v>0</v>
      </c>
      <c r="AH24" s="6">
        <v>0</v>
      </c>
      <c r="AI24" s="8" t="str" cm="1">
        <f t="array" ref="AI24">_xlfn.IFS(AG24=1, "starter", AH24=1, "legendary",T24&lt; 13, "weak",T24&lt; 17, "moderate", TRUE, "strong")</f>
        <v>strong</v>
      </c>
      <c r="AK24">
        <v>3</v>
      </c>
      <c r="AL24" s="8">
        <v>0</v>
      </c>
      <c r="AM24" s="8">
        <v>1</v>
      </c>
    </row>
    <row r="25" spans="1:39" s="8" customFormat="1" x14ac:dyDescent="0.25">
      <c r="A25" s="9" t="s">
        <v>1298</v>
      </c>
      <c r="B25" s="9" t="s">
        <v>161</v>
      </c>
      <c r="C25" s="3" t="s">
        <v>11</v>
      </c>
      <c r="D25" s="3"/>
      <c r="E25" s="9">
        <v>80</v>
      </c>
      <c r="F25" s="9">
        <v>120</v>
      </c>
      <c r="G25" s="9">
        <v>79</v>
      </c>
      <c r="H25" s="9">
        <v>95</v>
      </c>
      <c r="I25" s="9">
        <v>79</v>
      </c>
      <c r="J25" s="9">
        <v>70</v>
      </c>
      <c r="K25" s="9" t="s">
        <v>335</v>
      </c>
      <c r="L25" s="9" t="s">
        <v>301</v>
      </c>
      <c r="M25" s="9" t="s">
        <v>302</v>
      </c>
      <c r="N25" s="9">
        <f t="shared" ref="N25" si="29">(0.4*J25 + 0.5*MAX(F25,H25) + 0.1*MIN(F25,H25)) / 10</f>
        <v>9.75</v>
      </c>
      <c r="O25" s="9">
        <f t="shared" ref="O25" si="30">(0.4*E25 + 0.3*G25 + 0.3*I25) / 10</f>
        <v>7.94</v>
      </c>
      <c r="P25" s="9">
        <v>1</v>
      </c>
      <c r="Q25" s="9">
        <v>2</v>
      </c>
      <c r="R25" s="12">
        <f t="shared" ref="R25" si="31">ROUND(N25,0)+P25</f>
        <v>11</v>
      </c>
      <c r="S25" s="12">
        <f t="shared" ref="S25" si="32">ROUND(O25,0)+Q25</f>
        <v>10</v>
      </c>
      <c r="T25" s="12">
        <f t="shared" ref="T25" si="33">SUM(ROUND(R25,0),ROUND(S25,0))</f>
        <v>21</v>
      </c>
      <c r="U25" s="9" t="str">
        <f t="shared" ref="U25" si="34">C25</f>
        <v>electric</v>
      </c>
      <c r="V25" s="9" t="s">
        <v>9</v>
      </c>
      <c r="W25" s="9" t="s">
        <v>8</v>
      </c>
      <c r="X25" s="9" t="s">
        <v>22</v>
      </c>
      <c r="Y25" s="9"/>
      <c r="Z25" s="12" t="str">
        <f>IF(ISBLANK(Y25), "", ROUND(( (T27-6)*(T27-7) - (T25-6)*(T25-7) )/15, 0) + 1)</f>
        <v/>
      </c>
      <c r="AA25" s="8" t="str">
        <f t="shared" ref="AA25" si="35">B25</f>
        <v>Luxray</v>
      </c>
      <c r="AB25" s="9" t="s">
        <v>1338</v>
      </c>
      <c r="AC25" s="8" t="s">
        <v>699</v>
      </c>
      <c r="AD25" s="8" t="str">
        <f>VLOOKUP(AC25,moves!A:B,2,FALSE)</f>
        <v>electric</v>
      </c>
      <c r="AE25" s="8">
        <f>VLOOKUP(AC25,moves!A:D,4,FALSE)</f>
        <v>4</v>
      </c>
      <c r="AF25" s="8" t="str">
        <f>VLOOKUP(AC25,moves!A:E,5,FALSE)</f>
        <v>If the user knows another Electric-type move, deal 2 extra damage.</v>
      </c>
      <c r="AG25" s="11">
        <v>0</v>
      </c>
      <c r="AH25" s="11">
        <v>1</v>
      </c>
      <c r="AI25" s="8" t="str" cm="1">
        <f t="array" ref="AI25">_xlfn.IFS(AG25=1, "starter", AH25=1, "legendary",T25&lt; 13, "weak",T25&lt; 17, "moderate", TRUE, "strong")</f>
        <v>legendary</v>
      </c>
      <c r="AK25" s="8">
        <v>3</v>
      </c>
      <c r="AL25" s="8">
        <v>0</v>
      </c>
      <c r="AM25" s="8">
        <v>2</v>
      </c>
    </row>
    <row r="26" spans="1:39" x14ac:dyDescent="0.25">
      <c r="A26" s="9">
        <v>406</v>
      </c>
      <c r="B26" s="2" t="s">
        <v>162</v>
      </c>
      <c r="C26" s="3" t="s">
        <v>2</v>
      </c>
      <c r="D26" s="3" t="s">
        <v>3</v>
      </c>
      <c r="E26" s="1">
        <v>40</v>
      </c>
      <c r="F26" s="1">
        <v>30</v>
      </c>
      <c r="G26" s="1">
        <v>35</v>
      </c>
      <c r="H26" s="1">
        <v>50</v>
      </c>
      <c r="I26" s="1">
        <v>70</v>
      </c>
      <c r="J26" s="1">
        <v>55</v>
      </c>
      <c r="K26" s="1" t="s">
        <v>336</v>
      </c>
      <c r="L26" s="1" t="s">
        <v>301</v>
      </c>
      <c r="M26" s="1" t="s">
        <v>302</v>
      </c>
      <c r="N26" s="9">
        <f t="shared" si="3"/>
        <v>5</v>
      </c>
      <c r="O26" s="9">
        <f t="shared" si="4"/>
        <v>4.75</v>
      </c>
      <c r="P26" s="9">
        <v>0</v>
      </c>
      <c r="Q26" s="9">
        <v>0</v>
      </c>
      <c r="R26" s="12">
        <f t="shared" si="5"/>
        <v>5</v>
      </c>
      <c r="S26" s="12">
        <f t="shared" si="6"/>
        <v>5</v>
      </c>
      <c r="T26" s="12">
        <f t="shared" si="7"/>
        <v>10</v>
      </c>
      <c r="U26" s="1" t="str">
        <f t="shared" si="0"/>
        <v>grass</v>
      </c>
      <c r="V26" s="1" t="str">
        <f>IF(D26 = 0, "", D26)</f>
        <v>poison</v>
      </c>
      <c r="W26" s="1" t="s">
        <v>8</v>
      </c>
      <c r="X26" s="1" t="s">
        <v>16</v>
      </c>
      <c r="Y26" s="1" t="str">
        <f>B27</f>
        <v>Roselia</v>
      </c>
      <c r="Z26" s="12">
        <f t="shared" si="1"/>
        <v>4</v>
      </c>
      <c r="AA26" t="str">
        <f t="shared" si="2"/>
        <v>Budew</v>
      </c>
      <c r="AB26" s="2"/>
      <c r="AC26" t="s">
        <v>523</v>
      </c>
      <c r="AD26" s="8" t="str">
        <f>VLOOKUP(AC26,moves!A:B,2,FALSE)</f>
        <v>grass</v>
      </c>
      <c r="AE26" s="8">
        <f>VLOOKUP(AC26,moves!A:D,4,FALSE)</f>
        <v>1</v>
      </c>
      <c r="AF26" s="8" t="str">
        <f>VLOOKUP(AC26,moves!A:E,5,FALSE)</f>
        <v>Inflict the Drowsy status on the target. If the target is already Drowsy, attack strength is increased to 3.</v>
      </c>
      <c r="AG26" s="6">
        <v>1</v>
      </c>
      <c r="AH26" s="6">
        <v>0</v>
      </c>
      <c r="AI26" s="8" t="str" cm="1">
        <f t="array" ref="AI26">_xlfn.IFS(AG26=1, "starter", AH26=1, "legendary",T26&lt; 13, "weak",T26&lt; 17, "moderate", TRUE, "strong")</f>
        <v>starter</v>
      </c>
      <c r="AK26">
        <v>1</v>
      </c>
      <c r="AL26" s="8">
        <v>0</v>
      </c>
      <c r="AM26" s="8">
        <v>0</v>
      </c>
    </row>
    <row r="27" spans="1:39" x14ac:dyDescent="0.25">
      <c r="A27" s="9">
        <v>315</v>
      </c>
      <c r="B27" s="2" t="s">
        <v>123</v>
      </c>
      <c r="C27" s="3" t="s">
        <v>2</v>
      </c>
      <c r="D27" s="3" t="s">
        <v>3</v>
      </c>
      <c r="E27" s="1">
        <v>50</v>
      </c>
      <c r="F27" s="1">
        <v>60</v>
      </c>
      <c r="G27" s="1">
        <v>45</v>
      </c>
      <c r="H27" s="1">
        <v>100</v>
      </c>
      <c r="I27" s="1">
        <v>80</v>
      </c>
      <c r="J27" s="1">
        <v>65</v>
      </c>
      <c r="K27" s="1" t="s">
        <v>337</v>
      </c>
      <c r="L27" s="1" t="s">
        <v>301</v>
      </c>
      <c r="M27" s="1" t="s">
        <v>302</v>
      </c>
      <c r="N27" s="9">
        <f t="shared" si="3"/>
        <v>8.1999999999999993</v>
      </c>
      <c r="O27" s="9">
        <f t="shared" si="4"/>
        <v>5.75</v>
      </c>
      <c r="P27" s="9">
        <v>0</v>
      </c>
      <c r="Q27" s="9">
        <v>0</v>
      </c>
      <c r="R27" s="12">
        <f t="shared" si="5"/>
        <v>8</v>
      </c>
      <c r="S27" s="12">
        <f t="shared" si="6"/>
        <v>6</v>
      </c>
      <c r="T27" s="12">
        <f t="shared" si="7"/>
        <v>14</v>
      </c>
      <c r="U27" s="1" t="str">
        <f t="shared" si="0"/>
        <v>grass</v>
      </c>
      <c r="V27" s="1" t="str">
        <f>IF(D27 = 0, "", D27)</f>
        <v>poison</v>
      </c>
      <c r="W27" s="1" t="s">
        <v>8</v>
      </c>
      <c r="X27" s="1" t="s">
        <v>16</v>
      </c>
      <c r="Y27" s="1" t="str">
        <f>B28</f>
        <v>Roserade</v>
      </c>
      <c r="Z27" s="12">
        <f t="shared" si="1"/>
        <v>8</v>
      </c>
      <c r="AA27" t="str">
        <f t="shared" si="2"/>
        <v>Roselia</v>
      </c>
      <c r="AB27" s="2"/>
      <c r="AC27" t="s">
        <v>794</v>
      </c>
      <c r="AD27" s="8" t="str">
        <f>VLOOKUP(AC27,moves!A:B,2,FALSE)</f>
        <v>poison</v>
      </c>
      <c r="AE27" s="8">
        <f>VLOOKUP(AC27,moves!A:D,4,FALSE)</f>
        <v>3</v>
      </c>
      <c r="AF27" s="8" t="str">
        <f>VLOOKUP(AC27,moves!A:E,5,FALSE)</f>
        <v>If the target has a status effect, this move deals double damage.</v>
      </c>
      <c r="AG27" s="6">
        <v>0</v>
      </c>
      <c r="AH27" s="6">
        <v>0</v>
      </c>
      <c r="AI27" s="8" t="str" cm="1">
        <f t="array" ref="AI27">_xlfn.IFS(AG27=1, "starter", AH27=1, "legendary",T27&lt; 13, "weak",T27&lt; 17, "moderate", TRUE, "strong")</f>
        <v>moderate</v>
      </c>
      <c r="AK27">
        <v>2</v>
      </c>
      <c r="AL27" s="8">
        <v>0</v>
      </c>
      <c r="AM27" s="8">
        <v>0</v>
      </c>
    </row>
    <row r="28" spans="1:39" x14ac:dyDescent="0.25">
      <c r="A28" s="9">
        <v>407</v>
      </c>
      <c r="B28" s="2" t="s">
        <v>163</v>
      </c>
      <c r="C28" s="3" t="s">
        <v>2</v>
      </c>
      <c r="D28" s="3" t="s">
        <v>3</v>
      </c>
      <c r="E28" s="1">
        <v>60</v>
      </c>
      <c r="F28" s="1">
        <v>70</v>
      </c>
      <c r="G28" s="1">
        <v>65</v>
      </c>
      <c r="H28" s="1">
        <v>125</v>
      </c>
      <c r="I28" s="1">
        <v>105</v>
      </c>
      <c r="J28" s="1">
        <v>90</v>
      </c>
      <c r="K28" s="1" t="s">
        <v>338</v>
      </c>
      <c r="L28" s="1" t="s">
        <v>301</v>
      </c>
      <c r="M28" s="1" t="s">
        <v>302</v>
      </c>
      <c r="N28" s="9">
        <f t="shared" si="3"/>
        <v>10.55</v>
      </c>
      <c r="O28" s="9">
        <f t="shared" si="4"/>
        <v>7.5</v>
      </c>
      <c r="P28" s="9">
        <v>0</v>
      </c>
      <c r="Q28" s="9">
        <v>0</v>
      </c>
      <c r="R28" s="12">
        <f t="shared" si="5"/>
        <v>11</v>
      </c>
      <c r="S28" s="12">
        <f t="shared" si="6"/>
        <v>8</v>
      </c>
      <c r="T28" s="12">
        <f t="shared" si="7"/>
        <v>19</v>
      </c>
      <c r="U28" s="1" t="str">
        <f t="shared" si="0"/>
        <v>grass</v>
      </c>
      <c r="V28" s="1" t="str">
        <f>IF(D28 = 0, "", D28)</f>
        <v>poison</v>
      </c>
      <c r="W28" s="1" t="s">
        <v>8</v>
      </c>
      <c r="X28" s="1" t="s">
        <v>16</v>
      </c>
      <c r="Z28" s="12" t="str">
        <f>IF(ISBLANK(Y28), "", ROUND(( (T30-6)*(T30-7) - (T28-6)*(T28-7) )/15, 0) + 1)</f>
        <v/>
      </c>
      <c r="AA28" t="str">
        <f t="shared" si="2"/>
        <v>Roserade</v>
      </c>
      <c r="AB28" s="2"/>
      <c r="AC28" t="s">
        <v>490</v>
      </c>
      <c r="AD28" s="8" t="str">
        <f>VLOOKUP(AC28,moves!A:B,2,FALSE)</f>
        <v>grass</v>
      </c>
      <c r="AE28" s="8">
        <f>VLOOKUP(AC28,moves!A:D,4,FALSE)</f>
        <v>4</v>
      </c>
      <c r="AF28" s="8" t="str">
        <f>VLOOKUP(AC28,moves!A:E,5,FALSE)</f>
        <v>The user heals for half the damage dealt, rounded down.</v>
      </c>
      <c r="AG28" s="6">
        <v>0</v>
      </c>
      <c r="AH28" s="6">
        <v>0</v>
      </c>
      <c r="AI28" s="8" t="str" cm="1">
        <f t="array" ref="AI28">_xlfn.IFS(AG28=1, "starter", AH28=1, "legendary",T28&lt; 13, "weak",T28&lt; 17, "moderate", TRUE, "strong")</f>
        <v>strong</v>
      </c>
      <c r="AK28">
        <v>3</v>
      </c>
      <c r="AL28" s="8">
        <v>0</v>
      </c>
      <c r="AM28" s="8">
        <v>1</v>
      </c>
    </row>
    <row r="29" spans="1:39" s="8" customFormat="1" x14ac:dyDescent="0.25">
      <c r="A29" s="9" t="s">
        <v>1339</v>
      </c>
      <c r="B29" s="10" t="s">
        <v>163</v>
      </c>
      <c r="C29" s="3" t="s">
        <v>2</v>
      </c>
      <c r="D29" s="3" t="s">
        <v>3</v>
      </c>
      <c r="E29" s="9">
        <v>60</v>
      </c>
      <c r="F29" s="9">
        <v>70</v>
      </c>
      <c r="G29" s="9">
        <v>65</v>
      </c>
      <c r="H29" s="9">
        <v>125</v>
      </c>
      <c r="I29" s="9">
        <v>105</v>
      </c>
      <c r="J29" s="9">
        <v>90</v>
      </c>
      <c r="K29" s="9" t="s">
        <v>338</v>
      </c>
      <c r="L29" s="9" t="s">
        <v>301</v>
      </c>
      <c r="M29" s="9" t="s">
        <v>302</v>
      </c>
      <c r="N29" s="9">
        <f t="shared" ref="N29" si="36">(0.4*J29 + 0.5*MAX(F29,H29) + 0.1*MIN(F29,H29)) / 10</f>
        <v>10.55</v>
      </c>
      <c r="O29" s="9">
        <f t="shared" ref="O29" si="37">(0.4*E29 + 0.3*G29 + 0.3*I29) / 10</f>
        <v>7.5</v>
      </c>
      <c r="P29" s="9">
        <v>1</v>
      </c>
      <c r="Q29" s="9">
        <v>2</v>
      </c>
      <c r="R29" s="12">
        <f t="shared" ref="R29" si="38">ROUND(N29,0)+P29</f>
        <v>12</v>
      </c>
      <c r="S29" s="12">
        <f t="shared" ref="S29" si="39">ROUND(O29,0)+Q29</f>
        <v>10</v>
      </c>
      <c r="T29" s="12">
        <f t="shared" ref="T29" si="40">SUM(ROUND(R29,0),ROUND(S29,0))</f>
        <v>22</v>
      </c>
      <c r="U29" s="9" t="str">
        <f t="shared" ref="U29" si="41">C29</f>
        <v>grass</v>
      </c>
      <c r="V29" s="9" t="str">
        <f>IF(D29 = 0, "", D29)</f>
        <v>poison</v>
      </c>
      <c r="W29" s="9" t="s">
        <v>8</v>
      </c>
      <c r="X29" s="9" t="s">
        <v>16</v>
      </c>
      <c r="Y29" s="9"/>
      <c r="Z29" s="12" t="str">
        <f>IF(ISBLANK(Y29), "", ROUND(( (T31-6)*(T31-7) - (T29-6)*(T29-7) )/15, 0) + 1)</f>
        <v/>
      </c>
      <c r="AA29" s="8" t="str">
        <f t="shared" ref="AA29" si="42">B29</f>
        <v>Roserade</v>
      </c>
      <c r="AB29" s="10"/>
      <c r="AC29" s="8" t="s">
        <v>490</v>
      </c>
      <c r="AD29" s="8" t="str">
        <f>VLOOKUP(AC29,moves!A:B,2,FALSE)</f>
        <v>grass</v>
      </c>
      <c r="AE29" s="8">
        <f>VLOOKUP(AC29,moves!A:D,4,FALSE)</f>
        <v>4</v>
      </c>
      <c r="AF29" s="8" t="str">
        <f>VLOOKUP(AC29,moves!A:E,5,FALSE)</f>
        <v>The user heals for half the damage dealt, rounded down.</v>
      </c>
      <c r="AG29" s="11">
        <v>0</v>
      </c>
      <c r="AH29" s="11">
        <v>1</v>
      </c>
      <c r="AI29" s="8" t="str" cm="1">
        <f t="array" ref="AI29">_xlfn.IFS(AG29=1, "starter", AH29=1, "legendary",T29&lt; 13, "weak",T29&lt; 17, "moderate", TRUE, "strong")</f>
        <v>legendary</v>
      </c>
      <c r="AK29" s="8">
        <v>3</v>
      </c>
      <c r="AL29" s="8">
        <v>0</v>
      </c>
      <c r="AM29" s="8">
        <v>2</v>
      </c>
    </row>
    <row r="30" spans="1:39" x14ac:dyDescent="0.25">
      <c r="A30" s="9">
        <v>408</v>
      </c>
      <c r="B30" s="2" t="s">
        <v>164</v>
      </c>
      <c r="C30" s="5" t="s">
        <v>33</v>
      </c>
      <c r="E30" s="1">
        <v>67</v>
      </c>
      <c r="F30" s="1">
        <v>125</v>
      </c>
      <c r="G30" s="1">
        <v>40</v>
      </c>
      <c r="H30" s="1">
        <v>30</v>
      </c>
      <c r="I30" s="1">
        <v>30</v>
      </c>
      <c r="J30" s="1">
        <v>58</v>
      </c>
      <c r="K30" s="1" t="s">
        <v>339</v>
      </c>
      <c r="L30" s="1" t="s">
        <v>301</v>
      </c>
      <c r="M30" s="1" t="s">
        <v>300</v>
      </c>
      <c r="N30" s="9">
        <f t="shared" si="3"/>
        <v>8.870000000000001</v>
      </c>
      <c r="O30" s="9">
        <f t="shared" si="4"/>
        <v>4.7799999999999994</v>
      </c>
      <c r="P30" s="9">
        <v>0</v>
      </c>
      <c r="Q30" s="9">
        <v>0</v>
      </c>
      <c r="R30" s="12">
        <f t="shared" si="5"/>
        <v>9</v>
      </c>
      <c r="S30" s="12">
        <f t="shared" si="6"/>
        <v>5</v>
      </c>
      <c r="T30" s="12">
        <f t="shared" si="7"/>
        <v>14</v>
      </c>
      <c r="U30" s="1" t="str">
        <f t="shared" si="0"/>
        <v>rock</v>
      </c>
      <c r="V30" s="1" t="s">
        <v>8</v>
      </c>
      <c r="W30" s="1" t="s">
        <v>9</v>
      </c>
      <c r="X30" s="1" t="s">
        <v>13</v>
      </c>
      <c r="Y30" s="1" t="str">
        <f>B31</f>
        <v>Rampardos</v>
      </c>
      <c r="Z30" s="12">
        <f t="shared" si="1"/>
        <v>6</v>
      </c>
      <c r="AA30" t="str">
        <f t="shared" si="2"/>
        <v>Cranidos</v>
      </c>
      <c r="AB30" s="2"/>
      <c r="AC30" t="s">
        <v>595</v>
      </c>
      <c r="AD30" s="8" t="str">
        <f>VLOOKUP(AC30,moves!A:B,2,FALSE)</f>
        <v>normal</v>
      </c>
      <c r="AE30" s="8">
        <f>VLOOKUP(AC30,moves!A:D,4,FALSE)</f>
        <v>3</v>
      </c>
      <c r="AF30" s="8" t="str">
        <f>VLOOKUP(AC30,moves!A:E,5,FALSE)</f>
        <v>If a status symbol is rolled: Inflict the Paralysed status on the target.</v>
      </c>
      <c r="AG30" s="6">
        <v>0</v>
      </c>
      <c r="AH30" s="6">
        <v>0</v>
      </c>
      <c r="AI30" s="8" t="str" cm="1">
        <f t="array" ref="AI30">_xlfn.IFS(AG30=1, "starter", AH30=1, "legendary",T30&lt; 13, "weak",T30&lt; 17, "moderate", TRUE, "strong")</f>
        <v>moderate</v>
      </c>
      <c r="AK30">
        <v>1</v>
      </c>
      <c r="AL30" s="8">
        <v>0</v>
      </c>
      <c r="AM30" s="8">
        <v>0</v>
      </c>
    </row>
    <row r="31" spans="1:39" x14ac:dyDescent="0.25">
      <c r="A31" s="9">
        <v>409</v>
      </c>
      <c r="B31" s="2" t="s">
        <v>165</v>
      </c>
      <c r="C31" s="5" t="s">
        <v>33</v>
      </c>
      <c r="E31" s="1">
        <v>97</v>
      </c>
      <c r="F31" s="1">
        <v>165</v>
      </c>
      <c r="G31" s="1">
        <v>60</v>
      </c>
      <c r="H31" s="1">
        <v>65</v>
      </c>
      <c r="I31" s="1">
        <v>50</v>
      </c>
      <c r="J31" s="1">
        <v>58</v>
      </c>
      <c r="K31" s="1" t="s">
        <v>339</v>
      </c>
      <c r="L31" s="1" t="s">
        <v>301</v>
      </c>
      <c r="M31" s="1" t="s">
        <v>300</v>
      </c>
      <c r="N31" s="9">
        <f t="shared" si="3"/>
        <v>11.22</v>
      </c>
      <c r="O31" s="9">
        <f t="shared" si="4"/>
        <v>7.1800000000000015</v>
      </c>
      <c r="P31" s="9">
        <v>0</v>
      </c>
      <c r="Q31" s="9">
        <v>0</v>
      </c>
      <c r="R31" s="12">
        <f t="shared" si="5"/>
        <v>11</v>
      </c>
      <c r="S31" s="12">
        <f t="shared" si="6"/>
        <v>7</v>
      </c>
      <c r="T31" s="12">
        <f t="shared" si="7"/>
        <v>18</v>
      </c>
      <c r="U31" s="1" t="str">
        <f t="shared" si="0"/>
        <v>rock</v>
      </c>
      <c r="V31" s="1" t="s">
        <v>8</v>
      </c>
      <c r="W31" s="1" t="s">
        <v>9</v>
      </c>
      <c r="X31" s="1" t="s">
        <v>13</v>
      </c>
      <c r="Z31" s="12" t="str">
        <f t="shared" si="1"/>
        <v/>
      </c>
      <c r="AA31" t="str">
        <f t="shared" si="2"/>
        <v>Rampardos</v>
      </c>
      <c r="AB31" s="2"/>
      <c r="AC31" t="s">
        <v>516</v>
      </c>
      <c r="AD31" s="8" t="str">
        <f>VLOOKUP(AC31,moves!A:B,2,FALSE)</f>
        <v>rock</v>
      </c>
      <c r="AE31" s="8">
        <f>VLOOKUP(AC31,moves!A:D,4,FALSE)</f>
        <v>6</v>
      </c>
      <c r="AF31" s="8" t="str">
        <f>VLOOKUP(AC31,moves!A:E,5,FALSE)</f>
        <v>Critical hits deal +2 damage but for each critical hit rolled: The user takes 3 damage.</v>
      </c>
      <c r="AG31" s="6">
        <v>0</v>
      </c>
      <c r="AH31" s="6">
        <v>0</v>
      </c>
      <c r="AI31" s="8" t="str" cm="1">
        <f t="array" ref="AI31">_xlfn.IFS(AG31=1, "starter", AH31=1, "legendary",T31&lt; 13, "weak",T31&lt; 17, "moderate", TRUE, "strong")</f>
        <v>strong</v>
      </c>
      <c r="AK31">
        <v>2</v>
      </c>
      <c r="AL31" s="8">
        <v>0</v>
      </c>
      <c r="AM31" s="8">
        <v>0</v>
      </c>
    </row>
    <row r="32" spans="1:39" x14ac:dyDescent="0.25">
      <c r="A32" s="9">
        <v>410</v>
      </c>
      <c r="B32" s="2" t="s">
        <v>166</v>
      </c>
      <c r="C32" s="5" t="s">
        <v>33</v>
      </c>
      <c r="D32" s="3" t="s">
        <v>39</v>
      </c>
      <c r="E32" s="1">
        <v>30</v>
      </c>
      <c r="F32" s="1">
        <v>42</v>
      </c>
      <c r="G32" s="1">
        <v>118</v>
      </c>
      <c r="H32" s="1">
        <v>42</v>
      </c>
      <c r="I32" s="1">
        <v>88</v>
      </c>
      <c r="J32" s="1">
        <v>30</v>
      </c>
      <c r="K32" s="1" t="s">
        <v>340</v>
      </c>
      <c r="L32" s="1" t="s">
        <v>301</v>
      </c>
      <c r="M32" s="1" t="s">
        <v>300</v>
      </c>
      <c r="N32" s="9">
        <f t="shared" si="3"/>
        <v>3.72</v>
      </c>
      <c r="O32" s="9">
        <f t="shared" si="4"/>
        <v>7.38</v>
      </c>
      <c r="P32" s="9">
        <v>0</v>
      </c>
      <c r="Q32" s="9">
        <v>0</v>
      </c>
      <c r="R32" s="12">
        <f t="shared" si="5"/>
        <v>4</v>
      </c>
      <c r="S32" s="12">
        <f t="shared" si="6"/>
        <v>7</v>
      </c>
      <c r="T32" s="12">
        <f t="shared" si="7"/>
        <v>11</v>
      </c>
      <c r="U32" s="1" t="str">
        <f t="shared" si="0"/>
        <v>rock</v>
      </c>
      <c r="V32" s="1" t="s">
        <v>39</v>
      </c>
      <c r="W32" s="1" t="s">
        <v>8</v>
      </c>
      <c r="X32" s="1" t="s">
        <v>14</v>
      </c>
      <c r="Y32" s="1" t="str">
        <f>B33</f>
        <v>Bastiodon</v>
      </c>
      <c r="Z32" s="12">
        <f t="shared" si="1"/>
        <v>6</v>
      </c>
      <c r="AA32" t="str">
        <f t="shared" si="2"/>
        <v>Shieldon</v>
      </c>
      <c r="AB32" s="2"/>
      <c r="AC32" t="s">
        <v>537</v>
      </c>
      <c r="AD32" s="8" t="str">
        <f>VLOOKUP(AC32,moves!A:B,2,FALSE)</f>
        <v>rock</v>
      </c>
      <c r="AE32" s="8">
        <f>VLOOKUP(AC32,moves!A:D,4,FALSE)</f>
        <v>3</v>
      </c>
      <c r="AF32" s="8" t="str">
        <f>VLOOKUP(AC32,moves!A:E,5,FALSE)</f>
        <v>Add any critical hits or status symbols rolled on this attack to the next attack roll of the user.</v>
      </c>
      <c r="AG32" s="6">
        <v>0</v>
      </c>
      <c r="AH32" s="6">
        <v>0</v>
      </c>
      <c r="AI32" s="8" t="str" cm="1">
        <f t="array" ref="AI32">_xlfn.IFS(AG32=1, "starter", AH32=1, "legendary",T32&lt; 13, "weak",T32&lt; 17, "moderate", TRUE, "strong")</f>
        <v>weak</v>
      </c>
      <c r="AK32">
        <v>1</v>
      </c>
      <c r="AL32" s="8">
        <v>0</v>
      </c>
      <c r="AM32" s="8">
        <v>0</v>
      </c>
    </row>
    <row r="33" spans="1:39" x14ac:dyDescent="0.25">
      <c r="A33" s="9">
        <v>411</v>
      </c>
      <c r="B33" s="2" t="s">
        <v>167</v>
      </c>
      <c r="C33" s="5" t="s">
        <v>33</v>
      </c>
      <c r="D33" s="3" t="s">
        <v>39</v>
      </c>
      <c r="E33" s="1">
        <v>60</v>
      </c>
      <c r="F33" s="1">
        <v>52</v>
      </c>
      <c r="G33" s="1">
        <v>168</v>
      </c>
      <c r="H33" s="1">
        <v>47</v>
      </c>
      <c r="I33" s="1">
        <v>138</v>
      </c>
      <c r="J33" s="1">
        <v>30</v>
      </c>
      <c r="K33" s="1" t="s">
        <v>340</v>
      </c>
      <c r="L33" s="1" t="s">
        <v>301</v>
      </c>
      <c r="M33" s="1" t="s">
        <v>300</v>
      </c>
      <c r="N33" s="9">
        <f t="shared" si="3"/>
        <v>4.2700000000000005</v>
      </c>
      <c r="O33" s="9">
        <f t="shared" si="4"/>
        <v>11.580000000000002</v>
      </c>
      <c r="P33" s="9">
        <v>0</v>
      </c>
      <c r="Q33" s="9">
        <v>0</v>
      </c>
      <c r="R33" s="12">
        <f t="shared" si="5"/>
        <v>4</v>
      </c>
      <c r="S33" s="12">
        <f t="shared" si="6"/>
        <v>12</v>
      </c>
      <c r="T33" s="12">
        <f t="shared" si="7"/>
        <v>16</v>
      </c>
      <c r="U33" s="1" t="str">
        <f t="shared" si="0"/>
        <v>rock</v>
      </c>
      <c r="V33" s="1" t="s">
        <v>39</v>
      </c>
      <c r="W33" s="1" t="s">
        <v>8</v>
      </c>
      <c r="X33" s="1" t="s">
        <v>14</v>
      </c>
      <c r="Z33" s="12" t="str">
        <f t="shared" si="1"/>
        <v/>
      </c>
      <c r="AA33" t="str">
        <f t="shared" si="2"/>
        <v>Bastiodon</v>
      </c>
      <c r="AB33" s="2"/>
      <c r="AC33" t="s">
        <v>566</v>
      </c>
      <c r="AD33" s="8" t="str">
        <f>VLOOKUP(AC33,moves!A:B,2,FALSE)</f>
        <v>steel</v>
      </c>
      <c r="AE33" s="8" t="str">
        <f>VLOOKUP(AC33,moves!A:D,4,FALSE)</f>
        <v>?</v>
      </c>
      <c r="AF33" s="8" t="str">
        <f>VLOOKUP(AC33,moves!A:E,5,FALSE)</f>
        <v>Attack strength is equal to half the base health of the user, rounded down. Maximum 5 attack strength.</v>
      </c>
      <c r="AG33" s="6">
        <v>0</v>
      </c>
      <c r="AH33" s="6">
        <v>0</v>
      </c>
      <c r="AI33" s="8" t="str" cm="1">
        <f t="array" ref="AI33">_xlfn.IFS(AG33=1, "starter", AH33=1, "legendary",T33&lt; 13, "weak",T33&lt; 17, "moderate", TRUE, "strong")</f>
        <v>moderate</v>
      </c>
      <c r="AK33">
        <v>2</v>
      </c>
      <c r="AL33" s="8">
        <v>0</v>
      </c>
      <c r="AM33" s="8">
        <v>0</v>
      </c>
    </row>
    <row r="34" spans="1:39" x14ac:dyDescent="0.25">
      <c r="A34" s="9">
        <v>412</v>
      </c>
      <c r="B34" s="2" t="s">
        <v>168</v>
      </c>
      <c r="C34" s="3" t="s">
        <v>7</v>
      </c>
      <c r="E34" s="1">
        <v>40</v>
      </c>
      <c r="F34" s="1">
        <v>29</v>
      </c>
      <c r="G34" s="1">
        <v>45</v>
      </c>
      <c r="H34" s="1">
        <v>29</v>
      </c>
      <c r="I34" s="1">
        <v>45</v>
      </c>
      <c r="J34" s="1">
        <v>36</v>
      </c>
      <c r="K34" s="1" t="s">
        <v>341</v>
      </c>
      <c r="L34" s="1" t="s">
        <v>298</v>
      </c>
      <c r="M34" s="1" t="s">
        <v>300</v>
      </c>
      <c r="N34" s="9">
        <f t="shared" si="3"/>
        <v>3.1799999999999997</v>
      </c>
      <c r="O34" s="9">
        <f t="shared" si="4"/>
        <v>4.3</v>
      </c>
      <c r="P34" s="9">
        <v>0</v>
      </c>
      <c r="Q34" s="9">
        <v>0</v>
      </c>
      <c r="R34" s="12">
        <f t="shared" si="5"/>
        <v>3</v>
      </c>
      <c r="S34" s="12">
        <f t="shared" si="6"/>
        <v>4</v>
      </c>
      <c r="T34" s="12">
        <f t="shared" si="7"/>
        <v>7</v>
      </c>
      <c r="U34" s="1" t="str">
        <f t="shared" si="0"/>
        <v>bug</v>
      </c>
      <c r="V34" s="9" t="s">
        <v>2</v>
      </c>
      <c r="W34" s="1" t="s">
        <v>13</v>
      </c>
      <c r="X34" s="1" t="s">
        <v>39</v>
      </c>
      <c r="Y34" s="1" t="s">
        <v>464</v>
      </c>
      <c r="Z34" s="12">
        <f>IF(ISBLANK(Y34), "", ROUND(( (T35-6)*(T35-7) - (T34-6)*(T34-7) )/15, 0) + 1)</f>
        <v>5</v>
      </c>
      <c r="AA34" t="str">
        <f t="shared" si="2"/>
        <v>Burmy</v>
      </c>
      <c r="AB34" s="2"/>
      <c r="AC34" t="s">
        <v>517</v>
      </c>
      <c r="AD34" s="8" t="str">
        <f>VLOOKUP(AC34,moves!A:B,2,FALSE)</f>
        <v>bug</v>
      </c>
      <c r="AE34" s="8">
        <f>VLOOKUP(AC34,moves!A:D,4,FALSE)</f>
        <v>3</v>
      </c>
      <c r="AF34" s="8" t="str">
        <f>VLOOKUP(AC34,moves!A:E,5,FALSE)</f>
        <v>Consume an Apricorn from the bag of target. The target decides which one.</v>
      </c>
      <c r="AG34" s="6">
        <v>0</v>
      </c>
      <c r="AH34" s="6">
        <v>0</v>
      </c>
      <c r="AI34" s="8" t="str" cm="1">
        <f t="array" ref="AI34">_xlfn.IFS(AG34=1, "starter", AH34=1, "legendary",T34&lt; 13, "weak",T34&lt; 17, "moderate", TRUE, "strong")</f>
        <v>weak</v>
      </c>
      <c r="AK34">
        <v>1</v>
      </c>
      <c r="AL34" s="8">
        <v>0</v>
      </c>
      <c r="AM34" s="8">
        <v>0</v>
      </c>
    </row>
    <row r="35" spans="1:39" x14ac:dyDescent="0.25">
      <c r="A35" s="9">
        <v>413</v>
      </c>
      <c r="B35" s="2" t="s">
        <v>169</v>
      </c>
      <c r="C35" s="3" t="s">
        <v>7</v>
      </c>
      <c r="D35" s="3" t="s">
        <v>2</v>
      </c>
      <c r="E35" s="1">
        <v>60</v>
      </c>
      <c r="F35" s="1">
        <v>69</v>
      </c>
      <c r="G35" s="1">
        <v>95</v>
      </c>
      <c r="H35" s="1">
        <v>69</v>
      </c>
      <c r="I35" s="1">
        <v>95</v>
      </c>
      <c r="J35" s="1">
        <v>36</v>
      </c>
      <c r="K35" s="1" t="s">
        <v>341</v>
      </c>
      <c r="L35" s="1" t="s">
        <v>298</v>
      </c>
      <c r="M35" s="1" t="s">
        <v>300</v>
      </c>
      <c r="N35" s="9">
        <f t="shared" si="3"/>
        <v>5.58</v>
      </c>
      <c r="O35" s="9">
        <f t="shared" si="4"/>
        <v>8.1</v>
      </c>
      <c r="P35" s="9">
        <v>0</v>
      </c>
      <c r="Q35" s="9">
        <v>0</v>
      </c>
      <c r="R35" s="12">
        <f t="shared" si="5"/>
        <v>6</v>
      </c>
      <c r="S35" s="12">
        <f t="shared" si="6"/>
        <v>8</v>
      </c>
      <c r="T35" s="12">
        <f t="shared" si="7"/>
        <v>14</v>
      </c>
      <c r="U35" s="1" t="str">
        <f t="shared" si="0"/>
        <v>bug</v>
      </c>
      <c r="V35" s="9" t="s">
        <v>2</v>
      </c>
      <c r="W35" s="9" t="s">
        <v>13</v>
      </c>
      <c r="X35" s="9" t="s">
        <v>39</v>
      </c>
      <c r="Z35" s="12" t="str">
        <f>IF(ISBLANK(Y35), "", ROUND(( (T38-6)*(T38-7) - (T35-6)*(T35-7) )/15, 0) + 1)</f>
        <v/>
      </c>
      <c r="AA35" t="str">
        <f t="shared" si="2"/>
        <v>Wormadam</v>
      </c>
      <c r="AB35" s="2" t="s">
        <v>1336</v>
      </c>
      <c r="AC35" s="59" t="s">
        <v>1290</v>
      </c>
      <c r="AD35" s="8" t="str">
        <f>VLOOKUP(AC35,moves!A:B,2,FALSE)</f>
        <v>typeless</v>
      </c>
      <c r="AE35" s="8">
        <f>VLOOKUP(AC35,moves!A:D,4,FALSE)</f>
        <v>4</v>
      </c>
      <c r="AF35" s="8" t="str">
        <f>VLOOKUP(AC35,moves!A:E,5,FALSE)</f>
        <v>Change form if possible. Then, choose either base type of the user as the type of this attack.</v>
      </c>
      <c r="AG35" s="6">
        <v>0</v>
      </c>
      <c r="AH35" s="6">
        <v>0</v>
      </c>
      <c r="AI35" s="8" t="str" cm="1">
        <f t="array" ref="AI35">_xlfn.IFS(AG35=1, "starter", AH35=1, "legendary",T35&lt; 13, "weak",T35&lt; 17, "moderate", TRUE, "strong")</f>
        <v>moderate</v>
      </c>
      <c r="AK35">
        <v>2</v>
      </c>
      <c r="AL35" s="8">
        <v>0</v>
      </c>
      <c r="AM35" s="8">
        <v>1</v>
      </c>
    </row>
    <row r="36" spans="1:39" s="8" customFormat="1" x14ac:dyDescent="0.25">
      <c r="A36" s="9" t="s">
        <v>1288</v>
      </c>
      <c r="B36" s="10" t="s">
        <v>169</v>
      </c>
      <c r="C36" s="3" t="s">
        <v>7</v>
      </c>
      <c r="D36" s="3" t="s">
        <v>13</v>
      </c>
      <c r="E36" s="9">
        <v>60</v>
      </c>
      <c r="F36" s="9">
        <v>69</v>
      </c>
      <c r="G36" s="9">
        <v>95</v>
      </c>
      <c r="H36" s="9">
        <v>69</v>
      </c>
      <c r="I36" s="9">
        <v>95</v>
      </c>
      <c r="J36" s="9">
        <v>36</v>
      </c>
      <c r="K36" s="9" t="s">
        <v>341</v>
      </c>
      <c r="L36" s="9" t="s">
        <v>298</v>
      </c>
      <c r="M36" s="9" t="s">
        <v>300</v>
      </c>
      <c r="N36" s="9">
        <f t="shared" ref="N36" si="43">(0.4*J36 + 0.5*MAX(F36,H36) + 0.1*MIN(F36,H36)) / 10</f>
        <v>5.58</v>
      </c>
      <c r="O36" s="9">
        <f t="shared" ref="O36" si="44">(0.4*E36 + 0.3*G36 + 0.3*I36) / 10</f>
        <v>8.1</v>
      </c>
      <c r="P36" s="9">
        <v>0</v>
      </c>
      <c r="Q36" s="9">
        <v>0</v>
      </c>
      <c r="R36" s="12">
        <f t="shared" ref="R36" si="45">ROUND(N36,0)+P36</f>
        <v>6</v>
      </c>
      <c r="S36" s="12">
        <f t="shared" ref="S36" si="46">ROUND(O36,0)+Q36</f>
        <v>8</v>
      </c>
      <c r="T36" s="12">
        <f t="shared" ref="T36" si="47">SUM(ROUND(R36,0),ROUND(S36,0))</f>
        <v>14</v>
      </c>
      <c r="U36" s="9" t="str">
        <f t="shared" ref="U36" si="48">C36</f>
        <v>bug</v>
      </c>
      <c r="V36" s="9" t="s">
        <v>2</v>
      </c>
      <c r="W36" s="9" t="s">
        <v>13</v>
      </c>
      <c r="X36" s="9" t="s">
        <v>39</v>
      </c>
      <c r="Y36" s="9"/>
      <c r="Z36" s="12" t="str">
        <f>IF(ISBLANK(Y36), "", ROUND(( (T39-6)*(T39-7) - (T36-6)*(T36-7) )/15, 0) + 1)</f>
        <v/>
      </c>
      <c r="AA36" s="10" t="s">
        <v>1286</v>
      </c>
      <c r="AB36" s="10" t="s">
        <v>1329</v>
      </c>
      <c r="AC36" s="59" t="s">
        <v>1290</v>
      </c>
      <c r="AD36" s="8" t="str">
        <f>VLOOKUP(AC36,moves!A:B,2,FALSE)</f>
        <v>typeless</v>
      </c>
      <c r="AE36" s="8">
        <f>VLOOKUP(AC36,moves!A:D,4,FALSE)</f>
        <v>4</v>
      </c>
      <c r="AF36" s="8" t="str">
        <f>VLOOKUP(AC36,moves!A:E,5,FALSE)</f>
        <v>Change form if possible. Then, choose either base type of the user as the type of this attack.</v>
      </c>
      <c r="AG36" s="11">
        <v>0</v>
      </c>
      <c r="AH36" s="11">
        <v>0</v>
      </c>
      <c r="AI36" s="8" t="str" cm="1">
        <f t="array" ref="AI36">_xlfn.IFS(AG36=1, "starter", AH36=1, "legendary",T36&lt; 13, "weak",T36&lt; 17, "moderate", TRUE, "strong")</f>
        <v>moderate</v>
      </c>
      <c r="AK36" s="8">
        <v>2</v>
      </c>
      <c r="AL36" s="8">
        <v>0</v>
      </c>
      <c r="AM36" s="8">
        <v>2</v>
      </c>
    </row>
    <row r="37" spans="1:39" s="8" customFormat="1" x14ac:dyDescent="0.25">
      <c r="A37" s="9" t="s">
        <v>1289</v>
      </c>
      <c r="B37" s="10" t="s">
        <v>169</v>
      </c>
      <c r="C37" s="3" t="s">
        <v>7</v>
      </c>
      <c r="D37" s="3" t="s">
        <v>39</v>
      </c>
      <c r="E37" s="9">
        <v>60</v>
      </c>
      <c r="F37" s="9">
        <v>69</v>
      </c>
      <c r="G37" s="9">
        <v>95</v>
      </c>
      <c r="H37" s="9">
        <v>69</v>
      </c>
      <c r="I37" s="9">
        <v>95</v>
      </c>
      <c r="J37" s="9">
        <v>36</v>
      </c>
      <c r="K37" s="9" t="s">
        <v>341</v>
      </c>
      <c r="L37" s="9" t="s">
        <v>298</v>
      </c>
      <c r="M37" s="9" t="s">
        <v>300</v>
      </c>
      <c r="N37" s="9">
        <f t="shared" ref="N37" si="49">(0.4*J37 + 0.5*MAX(F37,H37) + 0.1*MIN(F37,H37)) / 10</f>
        <v>5.58</v>
      </c>
      <c r="O37" s="9">
        <f t="shared" ref="O37" si="50">(0.4*E37 + 0.3*G37 + 0.3*I37) / 10</f>
        <v>8.1</v>
      </c>
      <c r="P37" s="9">
        <v>0</v>
      </c>
      <c r="Q37" s="9">
        <v>0</v>
      </c>
      <c r="R37" s="12">
        <f t="shared" ref="R37" si="51">ROUND(N37,0)+P37</f>
        <v>6</v>
      </c>
      <c r="S37" s="12">
        <f t="shared" ref="S37" si="52">ROUND(O37,0)+Q37</f>
        <v>8</v>
      </c>
      <c r="T37" s="12">
        <f t="shared" ref="T37" si="53">SUM(ROUND(R37,0),ROUND(S37,0))</f>
        <v>14</v>
      </c>
      <c r="U37" s="9" t="str">
        <f t="shared" ref="U37" si="54">C37</f>
        <v>bug</v>
      </c>
      <c r="V37" s="9" t="s">
        <v>2</v>
      </c>
      <c r="W37" s="9" t="s">
        <v>13</v>
      </c>
      <c r="X37" s="9" t="s">
        <v>39</v>
      </c>
      <c r="Y37" s="9"/>
      <c r="Z37" s="12" t="str">
        <f>IF(ISBLANK(Y37), "", ROUND(( (T40-6)*(T40-7) - (T37-6)*(T37-7) )/15, 0) + 1)</f>
        <v/>
      </c>
      <c r="AA37" s="10" t="s">
        <v>1287</v>
      </c>
      <c r="AB37" s="10" t="s">
        <v>1330</v>
      </c>
      <c r="AC37" s="59" t="s">
        <v>1290</v>
      </c>
      <c r="AD37" s="8" t="str">
        <f>VLOOKUP(AC37,moves!A:B,2,FALSE)</f>
        <v>typeless</v>
      </c>
      <c r="AE37" s="8">
        <f>VLOOKUP(AC37,moves!A:D,4,FALSE)</f>
        <v>4</v>
      </c>
      <c r="AF37" s="8" t="str">
        <f>VLOOKUP(AC37,moves!A:E,5,FALSE)</f>
        <v>Change form if possible. Then, choose either base type of the user as the type of this attack.</v>
      </c>
      <c r="AG37" s="11">
        <v>0</v>
      </c>
      <c r="AH37" s="11">
        <v>0</v>
      </c>
      <c r="AI37" s="8" t="str" cm="1">
        <f t="array" ref="AI37">_xlfn.IFS(AG37=1, "starter", AH37=1, "legendary",T37&lt; 13, "weak",T37&lt; 17, "moderate", TRUE, "strong")</f>
        <v>moderate</v>
      </c>
      <c r="AK37" s="8">
        <v>2</v>
      </c>
      <c r="AL37" s="8">
        <v>0</v>
      </c>
      <c r="AM37" s="8">
        <v>3</v>
      </c>
    </row>
    <row r="38" spans="1:39" x14ac:dyDescent="0.25">
      <c r="A38" s="9">
        <v>414</v>
      </c>
      <c r="B38" s="2" t="s">
        <v>170</v>
      </c>
      <c r="C38" s="3" t="s">
        <v>7</v>
      </c>
      <c r="D38" s="3" t="s">
        <v>5</v>
      </c>
      <c r="E38" s="1">
        <v>70</v>
      </c>
      <c r="F38" s="1">
        <v>94</v>
      </c>
      <c r="G38" s="1">
        <v>50</v>
      </c>
      <c r="H38" s="1">
        <v>94</v>
      </c>
      <c r="I38" s="1">
        <v>50</v>
      </c>
      <c r="J38" s="1">
        <v>66</v>
      </c>
      <c r="K38" s="1" t="s">
        <v>342</v>
      </c>
      <c r="L38" s="1" t="s">
        <v>298</v>
      </c>
      <c r="M38" s="1" t="s">
        <v>300</v>
      </c>
      <c r="N38" s="9">
        <f t="shared" si="3"/>
        <v>8.2800000000000011</v>
      </c>
      <c r="O38" s="9">
        <f t="shared" si="4"/>
        <v>5.8</v>
      </c>
      <c r="P38" s="9">
        <v>0</v>
      </c>
      <c r="Q38" s="9">
        <v>0</v>
      </c>
      <c r="R38" s="12">
        <f t="shared" si="5"/>
        <v>8</v>
      </c>
      <c r="S38" s="12">
        <f t="shared" si="6"/>
        <v>6</v>
      </c>
      <c r="T38" s="12">
        <f t="shared" si="7"/>
        <v>14</v>
      </c>
      <c r="U38" s="1" t="str">
        <f t="shared" si="0"/>
        <v>bug</v>
      </c>
      <c r="V38" s="1" t="str">
        <f>IF(D38 = 0, "", D38)</f>
        <v>flying</v>
      </c>
      <c r="W38" s="1" t="s">
        <v>26</v>
      </c>
      <c r="X38" s="1" t="s">
        <v>42</v>
      </c>
      <c r="Z38" s="12" t="str">
        <f t="shared" si="1"/>
        <v/>
      </c>
      <c r="AA38" t="str">
        <f t="shared" si="2"/>
        <v>Mothim</v>
      </c>
      <c r="AB38" s="2"/>
      <c r="AC38" t="s">
        <v>518</v>
      </c>
      <c r="AD38" s="8" t="str">
        <f>VLOOKUP(AC38,moves!A:B,2,FALSE)</f>
        <v>flying</v>
      </c>
      <c r="AE38" s="8">
        <f>VLOOKUP(AC38,moves!A:D,4,FALSE)</f>
        <v>4</v>
      </c>
      <c r="AF38" s="8" t="str">
        <f>VLOOKUP(AC38,moves!A:E,5,FALSE)</f>
        <v>Critical hits deal +1 damage.</v>
      </c>
      <c r="AG38" s="6">
        <v>0</v>
      </c>
      <c r="AH38" s="6">
        <v>0</v>
      </c>
      <c r="AI38" s="8" t="str" cm="1">
        <f t="array" ref="AI38">_xlfn.IFS(AG38=1, "starter", AH38=1, "legendary",T38&lt; 13, "weak",T38&lt; 17, "moderate", TRUE, "strong")</f>
        <v>moderate</v>
      </c>
      <c r="AK38">
        <v>2</v>
      </c>
      <c r="AL38" s="8">
        <v>0</v>
      </c>
      <c r="AM38" s="8">
        <v>0</v>
      </c>
    </row>
    <row r="39" spans="1:39" x14ac:dyDescent="0.25">
      <c r="A39" s="9">
        <v>415</v>
      </c>
      <c r="B39" s="2" t="s">
        <v>171</v>
      </c>
      <c r="C39" s="3" t="s">
        <v>7</v>
      </c>
      <c r="D39" s="3" t="s">
        <v>5</v>
      </c>
      <c r="E39" s="1">
        <v>30</v>
      </c>
      <c r="F39" s="1">
        <v>30</v>
      </c>
      <c r="G39" s="1">
        <v>42</v>
      </c>
      <c r="H39" s="1">
        <v>30</v>
      </c>
      <c r="I39" s="1">
        <v>42</v>
      </c>
      <c r="J39" s="1">
        <v>70</v>
      </c>
      <c r="K39" s="1" t="s">
        <v>343</v>
      </c>
      <c r="L39" s="1" t="s">
        <v>298</v>
      </c>
      <c r="M39" s="1" t="s">
        <v>300</v>
      </c>
      <c r="N39" s="9">
        <f t="shared" si="3"/>
        <v>4.5999999999999996</v>
      </c>
      <c r="O39" s="9">
        <f t="shared" si="4"/>
        <v>3.72</v>
      </c>
      <c r="P39" s="9">
        <v>0</v>
      </c>
      <c r="Q39" s="9">
        <v>0</v>
      </c>
      <c r="R39" s="12">
        <f t="shared" si="5"/>
        <v>5</v>
      </c>
      <c r="S39" s="12">
        <f t="shared" si="6"/>
        <v>4</v>
      </c>
      <c r="T39" s="12">
        <f t="shared" si="7"/>
        <v>9</v>
      </c>
      <c r="U39" s="1" t="str">
        <f t="shared" si="0"/>
        <v>bug</v>
      </c>
      <c r="V39" s="1" t="str">
        <f>IF(D39 = 0, "", D39)</f>
        <v>flying</v>
      </c>
      <c r="W39" s="9" t="s">
        <v>3</v>
      </c>
      <c r="X39" s="1" t="s">
        <v>8</v>
      </c>
      <c r="Y39" s="1" t="str">
        <f>B40</f>
        <v>Vespiquen</v>
      </c>
      <c r="Z39" s="12">
        <f t="shared" si="1"/>
        <v>5</v>
      </c>
      <c r="AA39" t="str">
        <f t="shared" si="2"/>
        <v>Combee</v>
      </c>
      <c r="AB39" s="2"/>
      <c r="AC39" t="s">
        <v>936</v>
      </c>
      <c r="AD39" s="8" t="str">
        <f>VLOOKUP(AC39,moves!A:B,2,FALSE)</f>
        <v>normal</v>
      </c>
      <c r="AE39" s="8">
        <f>VLOOKUP(AC39,moves!A:D,4,FALSE)</f>
        <v>2</v>
      </c>
      <c r="AF39" s="8" t="str">
        <f>VLOOKUP(AC39,moves!A:E,5,FALSE)</f>
        <v>On the next attack or capture roll against the target, status symbols deal +1 damage.</v>
      </c>
      <c r="AG39" s="6">
        <v>0</v>
      </c>
      <c r="AH39" s="6">
        <v>0</v>
      </c>
      <c r="AI39" s="8" t="str" cm="1">
        <f t="array" ref="AI39">_xlfn.IFS(AG39=1, "starter", AH39=1, "legendary",T39&lt; 13, "weak",T39&lt; 17, "moderate", TRUE, "strong")</f>
        <v>weak</v>
      </c>
      <c r="AK39">
        <v>1</v>
      </c>
      <c r="AL39" s="8">
        <v>0</v>
      </c>
      <c r="AM39" s="8">
        <v>0</v>
      </c>
    </row>
    <row r="40" spans="1:39" x14ac:dyDescent="0.25">
      <c r="A40" s="9">
        <v>416</v>
      </c>
      <c r="B40" s="2" t="s">
        <v>172</v>
      </c>
      <c r="C40" s="3" t="s">
        <v>7</v>
      </c>
      <c r="D40" s="3" t="s">
        <v>5</v>
      </c>
      <c r="E40" s="1">
        <v>70</v>
      </c>
      <c r="F40" s="1">
        <v>80</v>
      </c>
      <c r="G40" s="1">
        <v>102</v>
      </c>
      <c r="H40" s="1">
        <v>80</v>
      </c>
      <c r="I40" s="1">
        <v>102</v>
      </c>
      <c r="J40" s="1">
        <v>40</v>
      </c>
      <c r="K40" s="1" t="s">
        <v>344</v>
      </c>
      <c r="L40" s="1" t="s">
        <v>298</v>
      </c>
      <c r="M40" s="1" t="s">
        <v>300</v>
      </c>
      <c r="N40" s="9">
        <f t="shared" si="3"/>
        <v>6.4</v>
      </c>
      <c r="O40" s="9">
        <f t="shared" si="4"/>
        <v>8.9199999999999982</v>
      </c>
      <c r="P40" s="9">
        <v>0</v>
      </c>
      <c r="Q40" s="9">
        <v>0</v>
      </c>
      <c r="R40" s="12">
        <f t="shared" si="5"/>
        <v>6</v>
      </c>
      <c r="S40" s="12">
        <f t="shared" si="6"/>
        <v>9</v>
      </c>
      <c r="T40" s="12">
        <f t="shared" si="7"/>
        <v>15</v>
      </c>
      <c r="U40" s="1" t="str">
        <f t="shared" si="0"/>
        <v>bug</v>
      </c>
      <c r="V40" s="1" t="str">
        <f>IF(D40 = 0, "", D40)</f>
        <v>flying</v>
      </c>
      <c r="W40" s="1" t="s">
        <v>3</v>
      </c>
      <c r="X40" s="1" t="s">
        <v>33</v>
      </c>
      <c r="Z40" s="12" t="str">
        <f t="shared" si="1"/>
        <v/>
      </c>
      <c r="AA40" t="str">
        <f t="shared" si="2"/>
        <v>Vespiquen</v>
      </c>
      <c r="AB40" s="2"/>
      <c r="AC40" t="s">
        <v>519</v>
      </c>
      <c r="AD40" s="8" t="str">
        <f>VLOOKUP(AC40,moves!A:B,2,FALSE)</f>
        <v>bug</v>
      </c>
      <c r="AE40" s="8">
        <f>VLOOKUP(AC40,moves!A:D,4,FALSE)</f>
        <v>4</v>
      </c>
      <c r="AF40" s="8" t="str">
        <f>VLOOKUP(AC40,moves!A:E,5,FALSE)</f>
        <v>For each other non-fainted Bug-type Pokémon in your party: Attack strength is increased by 1.</v>
      </c>
      <c r="AG40" s="6">
        <v>0</v>
      </c>
      <c r="AH40" s="6">
        <v>0</v>
      </c>
      <c r="AI40" s="8" t="str" cm="1">
        <f t="array" ref="AI40">_xlfn.IFS(AG40=1, "starter", AH40=1, "legendary",T40&lt; 13, "weak",T40&lt; 17, "moderate", TRUE, "strong")</f>
        <v>moderate</v>
      </c>
      <c r="AK40">
        <v>2</v>
      </c>
      <c r="AL40" s="8">
        <v>0</v>
      </c>
      <c r="AM40" s="8">
        <v>0</v>
      </c>
    </row>
    <row r="41" spans="1:39" x14ac:dyDescent="0.25">
      <c r="A41" s="9">
        <v>417</v>
      </c>
      <c r="B41" s="2" t="s">
        <v>173</v>
      </c>
      <c r="C41" s="3" t="s">
        <v>11</v>
      </c>
      <c r="E41" s="1">
        <v>60</v>
      </c>
      <c r="F41" s="1">
        <v>45</v>
      </c>
      <c r="G41" s="1">
        <v>70</v>
      </c>
      <c r="H41" s="1">
        <v>45</v>
      </c>
      <c r="I41" s="1">
        <v>90</v>
      </c>
      <c r="J41" s="1">
        <v>95</v>
      </c>
      <c r="K41" s="1" t="s">
        <v>345</v>
      </c>
      <c r="L41" s="1" t="s">
        <v>298</v>
      </c>
      <c r="M41" s="1" t="s">
        <v>300</v>
      </c>
      <c r="N41" s="9">
        <f t="shared" si="3"/>
        <v>6.5</v>
      </c>
      <c r="O41" s="9">
        <f t="shared" si="4"/>
        <v>7.2</v>
      </c>
      <c r="P41" s="9">
        <v>0</v>
      </c>
      <c r="Q41" s="9">
        <v>0</v>
      </c>
      <c r="R41" s="12">
        <f t="shared" si="5"/>
        <v>7</v>
      </c>
      <c r="S41" s="12">
        <f t="shared" si="6"/>
        <v>7</v>
      </c>
      <c r="T41" s="12">
        <f t="shared" si="7"/>
        <v>14</v>
      </c>
      <c r="U41" s="1" t="str">
        <f t="shared" si="0"/>
        <v>electric</v>
      </c>
      <c r="V41" s="1" t="s">
        <v>8</v>
      </c>
      <c r="W41" s="1" t="s">
        <v>7</v>
      </c>
      <c r="X41" s="1" t="s">
        <v>16</v>
      </c>
      <c r="Z41" s="12" t="str">
        <f t="shared" si="1"/>
        <v/>
      </c>
      <c r="AA41" t="str">
        <f t="shared" si="2"/>
        <v>Pachirisu</v>
      </c>
      <c r="AB41" s="2"/>
      <c r="AC41" t="s">
        <v>651</v>
      </c>
      <c r="AD41" s="8" t="str">
        <f>VLOOKUP(AC41,moves!A:B,2,FALSE)</f>
        <v>electric</v>
      </c>
      <c r="AE41" s="8">
        <f>VLOOKUP(AC41,moves!A:D,4,FALSE)</f>
        <v>1</v>
      </c>
      <c r="AF41" s="8" t="str">
        <f>VLOOKUP(AC41,moves!A:E,5,FALSE)</f>
        <v>Inflict the Paralysed status on the target. If the target is already Paralysed, attack strength is increased to 3.</v>
      </c>
      <c r="AG41" s="6">
        <v>0</v>
      </c>
      <c r="AH41" s="6">
        <v>0</v>
      </c>
      <c r="AI41" s="8" t="str" cm="1">
        <f t="array" ref="AI41">_xlfn.IFS(AG41=1, "starter", AH41=1, "legendary",T41&lt; 13, "weak",T41&lt; 17, "moderate", TRUE, "strong")</f>
        <v>moderate</v>
      </c>
      <c r="AK41">
        <v>1</v>
      </c>
      <c r="AL41" s="8">
        <v>0</v>
      </c>
      <c r="AM41" s="8">
        <v>0</v>
      </c>
    </row>
    <row r="42" spans="1:39" x14ac:dyDescent="0.25">
      <c r="A42" s="9">
        <v>418</v>
      </c>
      <c r="B42" s="2" t="s">
        <v>174</v>
      </c>
      <c r="C42" s="3" t="s">
        <v>6</v>
      </c>
      <c r="E42" s="1">
        <v>55</v>
      </c>
      <c r="F42" s="1">
        <v>65</v>
      </c>
      <c r="G42" s="1">
        <v>35</v>
      </c>
      <c r="H42" s="1">
        <v>60</v>
      </c>
      <c r="I42" s="1">
        <v>30</v>
      </c>
      <c r="J42" s="1">
        <v>85</v>
      </c>
      <c r="K42" s="1" t="s">
        <v>346</v>
      </c>
      <c r="L42" s="1" t="s">
        <v>303</v>
      </c>
      <c r="M42" s="1" t="s">
        <v>302</v>
      </c>
      <c r="N42" s="9">
        <f t="shared" si="3"/>
        <v>7.25</v>
      </c>
      <c r="O42" s="9">
        <f t="shared" si="4"/>
        <v>4.1500000000000004</v>
      </c>
      <c r="P42" s="9">
        <v>0</v>
      </c>
      <c r="Q42" s="9">
        <v>0</v>
      </c>
      <c r="R42" s="12">
        <f t="shared" si="5"/>
        <v>7</v>
      </c>
      <c r="S42" s="12">
        <f t="shared" si="6"/>
        <v>4</v>
      </c>
      <c r="T42" s="12">
        <f t="shared" si="7"/>
        <v>11</v>
      </c>
      <c r="U42" s="1" t="str">
        <f t="shared" si="0"/>
        <v>water</v>
      </c>
      <c r="V42" s="1" t="s">
        <v>8</v>
      </c>
      <c r="W42" s="9" t="s">
        <v>9</v>
      </c>
      <c r="X42" s="1" t="s">
        <v>14</v>
      </c>
      <c r="Y42" s="1" t="str">
        <f>B43</f>
        <v>Floatzel</v>
      </c>
      <c r="Z42" s="12">
        <f t="shared" si="1"/>
        <v>8</v>
      </c>
      <c r="AA42" t="str">
        <f t="shared" si="2"/>
        <v>Buizel</v>
      </c>
      <c r="AB42" s="2"/>
      <c r="AC42" t="s">
        <v>655</v>
      </c>
      <c r="AD42" s="8" t="str">
        <f>VLOOKUP(AC42,moves!A:B,2,FALSE)</f>
        <v>water</v>
      </c>
      <c r="AE42" s="8">
        <f>VLOOKUP(AC42,moves!A:D,4,FALSE)</f>
        <v>3</v>
      </c>
      <c r="AF42" s="8" t="str">
        <f>VLOOKUP(AC42,moves!A:E,5,FALSE)</f>
        <v>The user may switch out.</v>
      </c>
      <c r="AG42" s="6">
        <v>0</v>
      </c>
      <c r="AH42" s="6">
        <v>0</v>
      </c>
      <c r="AI42" s="8" t="str" cm="1">
        <f t="array" ref="AI42">_xlfn.IFS(AG42=1, "starter", AH42=1, "legendary",T42&lt; 13, "weak",T42&lt; 17, "moderate", TRUE, "strong")</f>
        <v>weak</v>
      </c>
      <c r="AK42">
        <v>1</v>
      </c>
      <c r="AL42" s="8">
        <v>0</v>
      </c>
      <c r="AM42" s="8">
        <v>0</v>
      </c>
    </row>
    <row r="43" spans="1:39" x14ac:dyDescent="0.25">
      <c r="A43" s="9">
        <v>419</v>
      </c>
      <c r="B43" s="2" t="s">
        <v>175</v>
      </c>
      <c r="C43" s="3" t="s">
        <v>6</v>
      </c>
      <c r="E43" s="1">
        <v>85</v>
      </c>
      <c r="F43" s="1">
        <v>105</v>
      </c>
      <c r="G43" s="1">
        <v>55</v>
      </c>
      <c r="H43" s="1">
        <v>85</v>
      </c>
      <c r="I43" s="1">
        <v>50</v>
      </c>
      <c r="J43" s="1">
        <v>115</v>
      </c>
      <c r="K43" s="1" t="s">
        <v>346</v>
      </c>
      <c r="L43" s="1" t="s">
        <v>303</v>
      </c>
      <c r="M43" s="9" t="s">
        <v>302</v>
      </c>
      <c r="N43" s="9">
        <f t="shared" si="3"/>
        <v>10.7</v>
      </c>
      <c r="O43" s="9">
        <f t="shared" si="4"/>
        <v>6.55</v>
      </c>
      <c r="P43" s="9">
        <v>0</v>
      </c>
      <c r="Q43" s="9">
        <v>0</v>
      </c>
      <c r="R43" s="12">
        <f t="shared" si="5"/>
        <v>11</v>
      </c>
      <c r="S43" s="12">
        <f t="shared" si="6"/>
        <v>7</v>
      </c>
      <c r="T43" s="12">
        <f t="shared" si="7"/>
        <v>18</v>
      </c>
      <c r="U43" s="1" t="str">
        <f t="shared" si="0"/>
        <v>water</v>
      </c>
      <c r="V43" s="1" t="s">
        <v>8</v>
      </c>
      <c r="W43" s="9" t="s">
        <v>9</v>
      </c>
      <c r="X43" s="9" t="s">
        <v>14</v>
      </c>
      <c r="Z43" s="12" t="str">
        <f t="shared" si="1"/>
        <v/>
      </c>
      <c r="AA43" t="str">
        <f t="shared" si="2"/>
        <v>Floatzel</v>
      </c>
      <c r="AB43" s="2"/>
      <c r="AC43" t="s">
        <v>665</v>
      </c>
      <c r="AD43" s="8" t="str">
        <f>VLOOKUP(AC43,moves!A:B,2,FALSE)</f>
        <v>water</v>
      </c>
      <c r="AE43" s="8">
        <f>VLOOKUP(AC43,moves!A:D,4,FALSE)</f>
        <v>2</v>
      </c>
      <c r="AF43" s="8" t="str">
        <f>VLOOKUP(AC43,moves!A:E,5,FALSE)</f>
        <v>Effect may be used once until the user switches out: Use another move this turn.</v>
      </c>
      <c r="AG43" s="6">
        <v>0</v>
      </c>
      <c r="AH43" s="6">
        <v>0</v>
      </c>
      <c r="AI43" s="8" t="str" cm="1">
        <f t="array" ref="AI43">_xlfn.IFS(AG43=1, "starter", AH43=1, "legendary",T43&lt; 13, "weak",T43&lt; 17, "moderate", TRUE, "strong")</f>
        <v>strong</v>
      </c>
      <c r="AK43">
        <v>2</v>
      </c>
      <c r="AL43" s="8">
        <v>0</v>
      </c>
      <c r="AM43" s="8">
        <v>0</v>
      </c>
    </row>
    <row r="44" spans="1:39" x14ac:dyDescent="0.25">
      <c r="A44" s="9">
        <v>420</v>
      </c>
      <c r="B44" s="2" t="s">
        <v>176</v>
      </c>
      <c r="C44" s="3" t="s">
        <v>2</v>
      </c>
      <c r="E44" s="1">
        <v>45</v>
      </c>
      <c r="F44" s="1">
        <v>35</v>
      </c>
      <c r="G44" s="1">
        <v>45</v>
      </c>
      <c r="H44" s="1">
        <v>62</v>
      </c>
      <c r="I44" s="1">
        <v>53</v>
      </c>
      <c r="J44" s="1">
        <v>35</v>
      </c>
      <c r="K44" s="1" t="s">
        <v>347</v>
      </c>
      <c r="L44" s="1" t="s">
        <v>298</v>
      </c>
      <c r="M44" s="1" t="s">
        <v>302</v>
      </c>
      <c r="N44" s="9">
        <f t="shared" si="3"/>
        <v>4.8499999999999996</v>
      </c>
      <c r="O44" s="9">
        <f t="shared" si="4"/>
        <v>4.74</v>
      </c>
      <c r="P44" s="9">
        <v>0</v>
      </c>
      <c r="Q44" s="9">
        <v>0</v>
      </c>
      <c r="R44" s="12">
        <f t="shared" si="5"/>
        <v>5</v>
      </c>
      <c r="S44" s="12">
        <f t="shared" si="6"/>
        <v>5</v>
      </c>
      <c r="T44" s="12">
        <f t="shared" si="7"/>
        <v>10</v>
      </c>
      <c r="U44" s="1" t="str">
        <f t="shared" si="0"/>
        <v>grass</v>
      </c>
      <c r="V44" s="1" t="s">
        <v>8</v>
      </c>
      <c r="W44" s="1" t="s">
        <v>16</v>
      </c>
      <c r="X44" s="1" t="s">
        <v>26</v>
      </c>
      <c r="Y44" s="1" t="str">
        <f>B46</f>
        <v>Cherrim</v>
      </c>
      <c r="Z44" s="12">
        <f t="shared" si="1"/>
        <v>5</v>
      </c>
      <c r="AA44" t="str">
        <f t="shared" si="2"/>
        <v>Cherubi</v>
      </c>
      <c r="AB44" s="2"/>
      <c r="AC44" t="s">
        <v>938</v>
      </c>
      <c r="AD44" s="8" t="str">
        <f>VLOOKUP(AC44,moves!A:B,2,FALSE)</f>
        <v>fairy</v>
      </c>
      <c r="AE44" s="8">
        <f>VLOOKUP(AC44,moves!A:D,4,FALSE)</f>
        <v>2</v>
      </c>
      <c r="AF44" s="8" t="str">
        <f>VLOOKUP(AC44,moves!A:E,5,FALSE)</f>
        <v>When the user is next attacked, remove a critical hit from the roll.</v>
      </c>
      <c r="AG44" s="6">
        <v>0</v>
      </c>
      <c r="AH44" s="6">
        <v>0</v>
      </c>
      <c r="AI44" s="8" t="str" cm="1">
        <f t="array" ref="AI44">_xlfn.IFS(AG44=1, "starter", AH44=1, "legendary",T44&lt; 13, "weak",T44&lt; 17, "moderate", TRUE, "strong")</f>
        <v>weak</v>
      </c>
      <c r="AK44">
        <v>1</v>
      </c>
      <c r="AL44" s="8">
        <v>0</v>
      </c>
      <c r="AM44" s="8">
        <v>0</v>
      </c>
    </row>
    <row r="45" spans="1:39" s="8" customFormat="1" x14ac:dyDescent="0.25">
      <c r="A45" s="9">
        <v>421</v>
      </c>
      <c r="B45" s="10" t="s">
        <v>177</v>
      </c>
      <c r="C45" s="3" t="s">
        <v>2</v>
      </c>
      <c r="D45" s="3"/>
      <c r="E45" s="9">
        <v>70</v>
      </c>
      <c r="F45" s="9">
        <v>60</v>
      </c>
      <c r="G45" s="9">
        <v>70</v>
      </c>
      <c r="H45" s="9">
        <v>87</v>
      </c>
      <c r="I45" s="9">
        <v>78</v>
      </c>
      <c r="J45" s="9">
        <v>85</v>
      </c>
      <c r="K45" s="9" t="s">
        <v>348</v>
      </c>
      <c r="L45" s="9" t="s">
        <v>298</v>
      </c>
      <c r="M45" s="9" t="s">
        <v>302</v>
      </c>
      <c r="N45" s="9">
        <f t="shared" ref="N45" si="55">(0.4*J45 + 0.5*MAX(F45,H45) + 0.1*MIN(F45,H45)) / 10</f>
        <v>8.35</v>
      </c>
      <c r="O45" s="9">
        <f t="shared" ref="O45" si="56">(0.4*E45 + 0.3*G45 + 0.3*I45) / 10</f>
        <v>7.24</v>
      </c>
      <c r="P45" s="9">
        <v>0</v>
      </c>
      <c r="Q45" s="9">
        <v>0</v>
      </c>
      <c r="R45" s="12">
        <f t="shared" ref="R45" si="57">ROUND(N45,0)+P45</f>
        <v>8</v>
      </c>
      <c r="S45" s="12">
        <f t="shared" ref="S45:S46" si="58">ROUND(O45,0)+Q45</f>
        <v>7</v>
      </c>
      <c r="T45" s="12">
        <f t="shared" ref="T45" si="59">SUM(ROUND(R45,0),ROUND(S45,0))</f>
        <v>15</v>
      </c>
      <c r="U45" s="3" t="str">
        <f>C45</f>
        <v>grass</v>
      </c>
      <c r="V45" s="9" t="s">
        <v>8</v>
      </c>
      <c r="W45" s="9" t="s">
        <v>16</v>
      </c>
      <c r="X45" s="9" t="s">
        <v>26</v>
      </c>
      <c r="Y45" s="9"/>
      <c r="Z45" s="12" t="str">
        <f t="shared" si="1"/>
        <v/>
      </c>
      <c r="AA45" s="8" t="str">
        <f t="shared" ref="AA45" si="60">B45</f>
        <v>Cherrim</v>
      </c>
      <c r="AB45" s="10" t="s">
        <v>1333</v>
      </c>
      <c r="AC45" s="8" t="s">
        <v>1318</v>
      </c>
      <c r="AD45" s="8" t="str">
        <f>VLOOKUP(AC45,moves!A:B,2,FALSE)</f>
        <v>grass</v>
      </c>
      <c r="AE45" s="8">
        <f>VLOOKUP(AC45,moves!A:D,4,FALSE)</f>
        <v>2</v>
      </c>
      <c r="AF45" s="8" t="str">
        <f>VLOOKUP(AC45,moves!A:E,5,FALSE)</f>
        <v>The user heals 2 damage. Change to Sunshine Form after this attack if possible.</v>
      </c>
      <c r="AG45" s="11">
        <v>0</v>
      </c>
      <c r="AH45" s="11">
        <v>0</v>
      </c>
      <c r="AI45" s="8" t="str" cm="1">
        <f t="array" ref="AI45">_xlfn.IFS(AG45=1, "starter", AH45=1, "legendary",T45&lt; 13, "weak",T45&lt; 17, "moderate", TRUE, "strong")</f>
        <v>moderate</v>
      </c>
      <c r="AK45" s="8">
        <v>2</v>
      </c>
      <c r="AL45" s="8">
        <v>0</v>
      </c>
      <c r="AM45" s="8">
        <v>1</v>
      </c>
    </row>
    <row r="46" spans="1:39" x14ac:dyDescent="0.25">
      <c r="A46" s="9" t="s">
        <v>1291</v>
      </c>
      <c r="B46" s="2" t="s">
        <v>177</v>
      </c>
      <c r="C46" s="3" t="s">
        <v>2</v>
      </c>
      <c r="E46" s="1">
        <v>70</v>
      </c>
      <c r="F46" s="1">
        <v>90</v>
      </c>
      <c r="G46" s="1">
        <v>70</v>
      </c>
      <c r="H46" s="1">
        <v>87</v>
      </c>
      <c r="I46" s="1">
        <v>117</v>
      </c>
      <c r="J46" s="1">
        <v>85</v>
      </c>
      <c r="K46" s="1" t="s">
        <v>348</v>
      </c>
      <c r="L46" s="1" t="s">
        <v>298</v>
      </c>
      <c r="M46" s="1" t="s">
        <v>302</v>
      </c>
      <c r="N46" s="9">
        <f t="shared" si="3"/>
        <v>8.77</v>
      </c>
      <c r="O46" s="9">
        <f t="shared" si="4"/>
        <v>8.41</v>
      </c>
      <c r="P46" s="9">
        <v>0</v>
      </c>
      <c r="Q46" s="9">
        <v>1</v>
      </c>
      <c r="R46" s="12">
        <f t="shared" si="5"/>
        <v>9</v>
      </c>
      <c r="S46" s="12">
        <f t="shared" si="58"/>
        <v>9</v>
      </c>
      <c r="T46" s="12">
        <f t="shared" si="7"/>
        <v>18</v>
      </c>
      <c r="U46" s="1" t="str">
        <f t="shared" si="0"/>
        <v>grass</v>
      </c>
      <c r="V46" s="1" t="s">
        <v>8</v>
      </c>
      <c r="W46" s="1" t="s">
        <v>16</v>
      </c>
      <c r="X46" s="1" t="s">
        <v>26</v>
      </c>
      <c r="Z46" s="12" t="str">
        <f t="shared" si="1"/>
        <v/>
      </c>
      <c r="AA46" s="10" t="s">
        <v>1317</v>
      </c>
      <c r="AB46" s="9" t="s">
        <v>1319</v>
      </c>
      <c r="AC46" t="s">
        <v>937</v>
      </c>
      <c r="AD46" s="8" t="str">
        <f>VLOOKUP(AC46,moves!A:B,2,FALSE)</f>
        <v>grass</v>
      </c>
      <c r="AE46" s="8">
        <f>VLOOKUP(AC46,moves!A:D,4,FALSE)</f>
        <v>6</v>
      </c>
      <c r="AF46" s="8" t="str">
        <f>VLOOKUP(AC46,moves!A:E,5,FALSE)</f>
        <v>If this move was used last turn, attack strength is decreased to 2.</v>
      </c>
      <c r="AG46" s="6">
        <v>0</v>
      </c>
      <c r="AH46" s="6">
        <v>0</v>
      </c>
      <c r="AI46" s="8" t="str" cm="1">
        <f t="array" ref="AI46">_xlfn.IFS(AG46=1, "starter", AH46=1, "legendary",T46&lt; 13, "weak",T46&lt; 17, "moderate", TRUE, "strong")</f>
        <v>strong</v>
      </c>
      <c r="AK46">
        <v>2</v>
      </c>
      <c r="AL46" s="8">
        <v>0</v>
      </c>
      <c r="AM46" s="8">
        <v>2</v>
      </c>
    </row>
    <row r="47" spans="1:39" x14ac:dyDescent="0.25">
      <c r="A47" s="9">
        <v>422</v>
      </c>
      <c r="B47" s="2" t="s">
        <v>315</v>
      </c>
      <c r="C47" s="3" t="s">
        <v>6</v>
      </c>
      <c r="E47" s="1">
        <v>76</v>
      </c>
      <c r="F47" s="1">
        <v>48</v>
      </c>
      <c r="G47" s="1">
        <v>48</v>
      </c>
      <c r="H47" s="1">
        <v>57</v>
      </c>
      <c r="I47" s="1">
        <v>62</v>
      </c>
      <c r="J47" s="1">
        <v>34</v>
      </c>
      <c r="K47" s="1" t="s">
        <v>349</v>
      </c>
      <c r="L47" s="1" t="s">
        <v>303</v>
      </c>
      <c r="M47" s="1" t="s">
        <v>299</v>
      </c>
      <c r="N47" s="9">
        <f t="shared" si="3"/>
        <v>4.6900000000000004</v>
      </c>
      <c r="O47" s="9">
        <f t="shared" si="4"/>
        <v>6.339999999999999</v>
      </c>
      <c r="P47" s="9">
        <v>0</v>
      </c>
      <c r="Q47" s="9">
        <v>0</v>
      </c>
      <c r="R47" s="12">
        <f t="shared" si="5"/>
        <v>5</v>
      </c>
      <c r="S47" s="12">
        <f t="shared" si="6"/>
        <v>6</v>
      </c>
      <c r="T47" s="12">
        <f t="shared" si="7"/>
        <v>11</v>
      </c>
      <c r="U47" s="1" t="str">
        <f t="shared" si="0"/>
        <v>water</v>
      </c>
      <c r="V47" s="1" t="s">
        <v>13</v>
      </c>
      <c r="W47" s="1" t="s">
        <v>8</v>
      </c>
      <c r="X47" s="1" t="s">
        <v>14</v>
      </c>
      <c r="Y47" t="s">
        <v>442</v>
      </c>
      <c r="Z47" s="12">
        <f t="shared" si="1"/>
        <v>6</v>
      </c>
      <c r="AA47" t="s">
        <v>441</v>
      </c>
      <c r="AB47" s="2" t="s">
        <v>317</v>
      </c>
      <c r="AC47" t="s">
        <v>617</v>
      </c>
      <c r="AD47" s="8" t="str">
        <f>VLOOKUP(AC47,moves!A:B,2,FALSE)</f>
        <v>water</v>
      </c>
      <c r="AE47" s="8">
        <f>VLOOKUP(AC47,moves!A:D,4,FALSE)</f>
        <v>2</v>
      </c>
      <c r="AF47" s="8" t="str">
        <f>VLOOKUP(AC47,moves!A:E,5,FALSE)</f>
        <v>When the target is next attacked, Ice-type and Electric-type moves deal double damage.</v>
      </c>
      <c r="AG47" s="6">
        <v>0</v>
      </c>
      <c r="AH47" s="6">
        <v>0</v>
      </c>
      <c r="AI47" s="8" t="str" cm="1">
        <f t="array" ref="AI47">_xlfn.IFS(AG47=1, "starter", AH47=1, "legendary",T47&lt; 13, "weak",T47&lt; 17, "moderate", TRUE, "strong")</f>
        <v>weak</v>
      </c>
      <c r="AK47">
        <v>1</v>
      </c>
      <c r="AL47" s="8">
        <v>0</v>
      </c>
      <c r="AM47" s="8">
        <v>0</v>
      </c>
    </row>
    <row r="48" spans="1:39" x14ac:dyDescent="0.25">
      <c r="A48" s="9">
        <v>423</v>
      </c>
      <c r="B48" s="2" t="s">
        <v>316</v>
      </c>
      <c r="C48" s="3" t="s">
        <v>6</v>
      </c>
      <c r="D48" s="3" t="s">
        <v>13</v>
      </c>
      <c r="E48" s="1">
        <v>111</v>
      </c>
      <c r="F48" s="1">
        <v>83</v>
      </c>
      <c r="G48" s="1">
        <v>68</v>
      </c>
      <c r="H48" s="1">
        <v>92</v>
      </c>
      <c r="I48" s="1">
        <v>82</v>
      </c>
      <c r="J48" s="1">
        <v>39</v>
      </c>
      <c r="K48" s="1" t="s">
        <v>349</v>
      </c>
      <c r="L48" s="1" t="s">
        <v>303</v>
      </c>
      <c r="M48" s="1" t="s">
        <v>299</v>
      </c>
      <c r="N48" s="9">
        <f t="shared" si="3"/>
        <v>6.99</v>
      </c>
      <c r="O48" s="9">
        <f t="shared" si="4"/>
        <v>8.9400000000000013</v>
      </c>
      <c r="P48" s="9">
        <v>0</v>
      </c>
      <c r="Q48" s="9">
        <v>0</v>
      </c>
      <c r="R48" s="12">
        <f t="shared" si="5"/>
        <v>7</v>
      </c>
      <c r="S48" s="12">
        <f t="shared" si="6"/>
        <v>9</v>
      </c>
      <c r="T48" s="12">
        <f t="shared" si="7"/>
        <v>16</v>
      </c>
      <c r="U48" s="1" t="str">
        <f t="shared" si="0"/>
        <v>water</v>
      </c>
      <c r="V48" s="1" t="str">
        <f>IF(D48 = 0, "", D48)</f>
        <v>ground</v>
      </c>
      <c r="W48" s="1" t="s">
        <v>8</v>
      </c>
      <c r="X48" s="1" t="s">
        <v>14</v>
      </c>
      <c r="Z48" s="12" t="str">
        <f t="shared" si="1"/>
        <v/>
      </c>
      <c r="AA48" t="s">
        <v>442</v>
      </c>
      <c r="AB48" s="2" t="s">
        <v>317</v>
      </c>
      <c r="AC48" t="s">
        <v>492</v>
      </c>
      <c r="AD48" s="8" t="str">
        <f>VLOOKUP(AC48,moves!A:B,2,FALSE)</f>
        <v>ice</v>
      </c>
      <c r="AE48" s="8">
        <f>VLOOKUP(AC48,moves!A:D,4,FALSE)</f>
        <v>4</v>
      </c>
      <c r="AF48" s="8" t="str">
        <f>VLOOKUP(AC48,moves!A:E,5,FALSE)</f>
        <v>If a status symbol is rolled: Inflict the Frozen status on the target.</v>
      </c>
      <c r="AG48" s="6">
        <v>0</v>
      </c>
      <c r="AH48" s="6">
        <v>0</v>
      </c>
      <c r="AI48" s="8" t="str" cm="1">
        <f t="array" ref="AI48">_xlfn.IFS(AG48=1, "starter", AH48=1, "legendary",T48&lt; 13, "weak",T48&lt; 17, "moderate", TRUE, "strong")</f>
        <v>moderate</v>
      </c>
      <c r="AK48">
        <v>2</v>
      </c>
      <c r="AL48" s="8">
        <v>0</v>
      </c>
      <c r="AM48" s="8">
        <v>0</v>
      </c>
    </row>
    <row r="49" spans="1:39" x14ac:dyDescent="0.25">
      <c r="A49" s="9" t="s">
        <v>1292</v>
      </c>
      <c r="B49" s="2" t="s">
        <v>315</v>
      </c>
      <c r="C49" s="3" t="s">
        <v>6</v>
      </c>
      <c r="E49" s="1">
        <v>76</v>
      </c>
      <c r="F49" s="1">
        <v>48</v>
      </c>
      <c r="G49" s="1">
        <v>48</v>
      </c>
      <c r="H49" s="1">
        <v>57</v>
      </c>
      <c r="I49" s="1">
        <v>62</v>
      </c>
      <c r="J49" s="1">
        <v>34</v>
      </c>
      <c r="K49" s="1" t="s">
        <v>349</v>
      </c>
      <c r="L49" s="1" t="s">
        <v>303</v>
      </c>
      <c r="M49" s="1" t="s">
        <v>302</v>
      </c>
      <c r="N49" s="9">
        <f t="shared" si="3"/>
        <v>4.6900000000000004</v>
      </c>
      <c r="O49" s="9">
        <f t="shared" si="4"/>
        <v>6.339999999999999</v>
      </c>
      <c r="P49" s="9">
        <v>0</v>
      </c>
      <c r="Q49" s="9">
        <v>0</v>
      </c>
      <c r="R49" s="12">
        <f t="shared" si="5"/>
        <v>5</v>
      </c>
      <c r="S49" s="12">
        <f t="shared" si="6"/>
        <v>6</v>
      </c>
      <c r="T49" s="12">
        <f t="shared" si="7"/>
        <v>11</v>
      </c>
      <c r="U49" s="1" t="str">
        <f t="shared" si="0"/>
        <v>water</v>
      </c>
      <c r="V49" s="1" t="s">
        <v>13</v>
      </c>
      <c r="W49" s="1" t="s">
        <v>8</v>
      </c>
      <c r="X49" s="1" t="s">
        <v>4</v>
      </c>
      <c r="Y49" t="s">
        <v>444</v>
      </c>
      <c r="Z49" s="12">
        <f t="shared" si="1"/>
        <v>6</v>
      </c>
      <c r="AA49" t="s">
        <v>443</v>
      </c>
      <c r="AB49" s="2" t="s">
        <v>318</v>
      </c>
      <c r="AC49" t="s">
        <v>764</v>
      </c>
      <c r="AD49" s="8" t="str">
        <f>VLOOKUP(AC49,moves!A:B,2,FALSE)</f>
        <v>ground</v>
      </c>
      <c r="AE49" s="8">
        <f>VLOOKUP(AC49,moves!A:D,4,FALSE)</f>
        <v>3</v>
      </c>
      <c r="AF49" s="8" t="str">
        <f>VLOOKUP(AC49,moves!A:E,5,FALSE)</f>
        <v>When the target next attacks, status symbols deal -1 damage.</v>
      </c>
      <c r="AG49" s="6">
        <v>0</v>
      </c>
      <c r="AH49" s="6">
        <v>0</v>
      </c>
      <c r="AI49" s="8" t="str" cm="1">
        <f t="array" ref="AI49">_xlfn.IFS(AG49=1, "starter", AH49=1, "legendary",T49&lt; 13, "weak",T49&lt; 17, "moderate", TRUE, "strong")</f>
        <v>weak</v>
      </c>
      <c r="AK49">
        <v>1</v>
      </c>
      <c r="AL49" s="8">
        <v>0</v>
      </c>
      <c r="AM49" s="8">
        <v>0</v>
      </c>
    </row>
    <row r="50" spans="1:39" x14ac:dyDescent="0.25">
      <c r="A50" s="9" t="s">
        <v>1293</v>
      </c>
      <c r="B50" s="2" t="s">
        <v>316</v>
      </c>
      <c r="C50" s="3" t="s">
        <v>6</v>
      </c>
      <c r="D50" s="3" t="s">
        <v>13</v>
      </c>
      <c r="E50" s="1">
        <v>111</v>
      </c>
      <c r="F50" s="1">
        <v>83</v>
      </c>
      <c r="G50" s="1">
        <v>68</v>
      </c>
      <c r="H50" s="1">
        <v>92</v>
      </c>
      <c r="I50" s="1">
        <v>82</v>
      </c>
      <c r="J50" s="1">
        <v>39</v>
      </c>
      <c r="K50" s="1" t="s">
        <v>349</v>
      </c>
      <c r="L50" s="1" t="s">
        <v>303</v>
      </c>
      <c r="M50" s="1" t="s">
        <v>302</v>
      </c>
      <c r="N50" s="9">
        <f t="shared" si="3"/>
        <v>6.99</v>
      </c>
      <c r="O50" s="9">
        <f t="shared" si="4"/>
        <v>8.9400000000000013</v>
      </c>
      <c r="P50" s="9">
        <v>0</v>
      </c>
      <c r="Q50" s="9">
        <v>0</v>
      </c>
      <c r="R50" s="12">
        <f t="shared" si="5"/>
        <v>7</v>
      </c>
      <c r="S50" s="12">
        <f t="shared" si="6"/>
        <v>9</v>
      </c>
      <c r="T50" s="12">
        <f t="shared" si="7"/>
        <v>16</v>
      </c>
      <c r="U50" s="1" t="str">
        <f t="shared" si="0"/>
        <v>water</v>
      </c>
      <c r="V50" s="1" t="str">
        <f>IF(D50 = 0, "", D50)</f>
        <v>ground</v>
      </c>
      <c r="W50" s="1" t="s">
        <v>8</v>
      </c>
      <c r="X50" s="1" t="s">
        <v>4</v>
      </c>
      <c r="Z50" s="12" t="str">
        <f t="shared" si="1"/>
        <v/>
      </c>
      <c r="AA50" t="s">
        <v>444</v>
      </c>
      <c r="AB50" s="2" t="s">
        <v>318</v>
      </c>
      <c r="AC50" t="s">
        <v>486</v>
      </c>
      <c r="AD50" s="8" t="str">
        <f>VLOOKUP(AC50,moves!A:B,2,FALSE)</f>
        <v>water</v>
      </c>
      <c r="AE50" s="8">
        <f>VLOOKUP(AC50,moves!A:D,4,FALSE)</f>
        <v>4</v>
      </c>
      <c r="AF50" s="8" t="str">
        <f>VLOOKUP(AC50,moves!A:E,5,FALSE)</f>
        <v>If a status symbol is rolled: Inflict the Burned status on the target.</v>
      </c>
      <c r="AG50" s="6">
        <v>0</v>
      </c>
      <c r="AH50" s="6">
        <v>0</v>
      </c>
      <c r="AI50" s="8" t="str" cm="1">
        <f t="array" ref="AI50">_xlfn.IFS(AG50=1, "starter", AH50=1, "legendary",T50&lt; 13, "weak",T50&lt; 17, "moderate", TRUE, "strong")</f>
        <v>moderate</v>
      </c>
      <c r="AK50">
        <v>2</v>
      </c>
      <c r="AL50" s="8">
        <v>0</v>
      </c>
      <c r="AM50" s="8">
        <v>0</v>
      </c>
    </row>
    <row r="51" spans="1:39" x14ac:dyDescent="0.25">
      <c r="A51" s="9">
        <v>190</v>
      </c>
      <c r="B51" s="2" t="s">
        <v>78</v>
      </c>
      <c r="C51" s="3" t="s">
        <v>8</v>
      </c>
      <c r="E51" s="1">
        <v>55</v>
      </c>
      <c r="F51" s="1">
        <v>70</v>
      </c>
      <c r="G51" s="1">
        <v>55</v>
      </c>
      <c r="H51" s="1">
        <v>40</v>
      </c>
      <c r="I51" s="1">
        <v>55</v>
      </c>
      <c r="J51" s="1">
        <v>85</v>
      </c>
      <c r="K51" s="1" t="s">
        <v>350</v>
      </c>
      <c r="L51" s="1" t="s">
        <v>298</v>
      </c>
      <c r="M51" s="1" t="s">
        <v>300</v>
      </c>
      <c r="N51" s="9">
        <f t="shared" si="3"/>
        <v>7.3</v>
      </c>
      <c r="O51" s="9">
        <f t="shared" si="4"/>
        <v>5.5</v>
      </c>
      <c r="P51" s="9">
        <v>0</v>
      </c>
      <c r="Q51" s="9">
        <v>0</v>
      </c>
      <c r="R51" s="12">
        <f t="shared" si="5"/>
        <v>7</v>
      </c>
      <c r="S51" s="12">
        <f t="shared" si="6"/>
        <v>6</v>
      </c>
      <c r="T51" s="12">
        <f t="shared" si="7"/>
        <v>13</v>
      </c>
      <c r="U51" s="1" t="str">
        <f t="shared" si="0"/>
        <v>normal</v>
      </c>
      <c r="V51" s="1" t="s">
        <v>22</v>
      </c>
      <c r="W51" s="1" t="s">
        <v>9</v>
      </c>
      <c r="X51" s="1" t="s">
        <v>67</v>
      </c>
      <c r="Y51" s="1" t="str">
        <f>B52</f>
        <v>Ambipom</v>
      </c>
      <c r="Z51" s="12">
        <f t="shared" si="1"/>
        <v>6</v>
      </c>
      <c r="AA51" t="str">
        <f t="shared" ref="AA51:AA114" si="61">B51</f>
        <v>Aipom</v>
      </c>
      <c r="AB51" s="2"/>
      <c r="AC51" t="s">
        <v>468</v>
      </c>
      <c r="AD51" s="8" t="str">
        <f>VLOOKUP(AC51,moves!A:B,2,FALSE)</f>
        <v>normal</v>
      </c>
      <c r="AE51" s="8">
        <f>VLOOKUP(AC51,moves!A:D,4,FALSE)</f>
        <v>2</v>
      </c>
      <c r="AF51" s="8" t="str">
        <f>VLOOKUP(AC51,moves!A:E,5,FALSE)</f>
        <v>Regular hits deal +1 damage.</v>
      </c>
      <c r="AG51" s="6">
        <v>0</v>
      </c>
      <c r="AH51" s="6">
        <v>0</v>
      </c>
      <c r="AI51" s="8" t="str" cm="1">
        <f t="array" ref="AI51">_xlfn.IFS(AG51=1, "starter", AH51=1, "legendary",T51&lt; 13, "weak",T51&lt; 17, "moderate", TRUE, "strong")</f>
        <v>moderate</v>
      </c>
      <c r="AK51">
        <v>1</v>
      </c>
      <c r="AL51" s="8">
        <v>0</v>
      </c>
      <c r="AM51" s="8">
        <v>0</v>
      </c>
    </row>
    <row r="52" spans="1:39" x14ac:dyDescent="0.25">
      <c r="A52" s="9">
        <v>424</v>
      </c>
      <c r="B52" s="2" t="s">
        <v>178</v>
      </c>
      <c r="C52" s="3" t="s">
        <v>8</v>
      </c>
      <c r="E52" s="1">
        <v>75</v>
      </c>
      <c r="F52" s="1">
        <v>100</v>
      </c>
      <c r="G52" s="1">
        <v>66</v>
      </c>
      <c r="H52" s="1">
        <v>60</v>
      </c>
      <c r="I52" s="1">
        <v>66</v>
      </c>
      <c r="J52" s="1">
        <v>115</v>
      </c>
      <c r="K52" s="1" t="s">
        <v>350</v>
      </c>
      <c r="L52" s="1" t="s">
        <v>298</v>
      </c>
      <c r="M52" s="1" t="s">
        <v>300</v>
      </c>
      <c r="N52" s="9">
        <f t="shared" si="3"/>
        <v>10.199999999999999</v>
      </c>
      <c r="O52" s="9">
        <f t="shared" si="4"/>
        <v>6.9599999999999991</v>
      </c>
      <c r="P52" s="9">
        <v>0</v>
      </c>
      <c r="Q52" s="9">
        <v>0</v>
      </c>
      <c r="R52" s="12">
        <f t="shared" si="5"/>
        <v>10</v>
      </c>
      <c r="S52" s="12">
        <f t="shared" si="6"/>
        <v>7</v>
      </c>
      <c r="T52" s="12">
        <f t="shared" si="7"/>
        <v>17</v>
      </c>
      <c r="U52" s="1" t="str">
        <f t="shared" si="0"/>
        <v>normal</v>
      </c>
      <c r="V52" s="1" t="s">
        <v>22</v>
      </c>
      <c r="W52" s="1" t="s">
        <v>9</v>
      </c>
      <c r="X52" s="1" t="s">
        <v>67</v>
      </c>
      <c r="Z52" s="12" t="str">
        <f t="shared" si="1"/>
        <v/>
      </c>
      <c r="AA52" t="str">
        <f t="shared" si="61"/>
        <v>Ambipom</v>
      </c>
      <c r="AB52" s="2"/>
      <c r="AC52" t="s">
        <v>593</v>
      </c>
      <c r="AD52" s="8" t="str">
        <f>VLOOKUP(AC52,moves!A:B,2,FALSE)</f>
        <v>normal</v>
      </c>
      <c r="AE52" s="8">
        <f>VLOOKUP(AC52,moves!A:D,4,FALSE)</f>
        <v>5</v>
      </c>
      <c r="AF52" s="8" t="str">
        <f>VLOOKUP(AC52,moves!A:E,5,FALSE)</f>
        <v>Critical hits deal +2 damage but for each critical hit rolled: The user takes 2 damage.</v>
      </c>
      <c r="AG52" s="6">
        <v>0</v>
      </c>
      <c r="AH52" s="6">
        <v>0</v>
      </c>
      <c r="AI52" s="8" t="str" cm="1">
        <f t="array" ref="AI52">_xlfn.IFS(AG52=1, "starter", AH52=1, "legendary",T52&lt; 13, "weak",T52&lt; 17, "moderate", TRUE, "strong")</f>
        <v>strong</v>
      </c>
      <c r="AK52">
        <v>2</v>
      </c>
      <c r="AL52" s="8">
        <v>0</v>
      </c>
      <c r="AM52" s="8">
        <v>0</v>
      </c>
    </row>
    <row r="53" spans="1:39" x14ac:dyDescent="0.25">
      <c r="A53" s="9">
        <v>425</v>
      </c>
      <c r="B53" s="2" t="s">
        <v>179</v>
      </c>
      <c r="C53" s="3" t="s">
        <v>42</v>
      </c>
      <c r="D53" s="3" t="s">
        <v>5</v>
      </c>
      <c r="E53" s="1">
        <v>90</v>
      </c>
      <c r="F53" s="1">
        <v>50</v>
      </c>
      <c r="G53" s="1">
        <v>34</v>
      </c>
      <c r="H53" s="1">
        <v>60</v>
      </c>
      <c r="I53" s="1">
        <v>44</v>
      </c>
      <c r="J53" s="1">
        <v>70</v>
      </c>
      <c r="K53" s="1" t="s">
        <v>351</v>
      </c>
      <c r="L53" s="1" t="s">
        <v>301</v>
      </c>
      <c r="M53" s="1" t="s">
        <v>300</v>
      </c>
      <c r="N53" s="9">
        <f t="shared" si="3"/>
        <v>6.3</v>
      </c>
      <c r="O53" s="9">
        <f t="shared" si="4"/>
        <v>5.94</v>
      </c>
      <c r="P53" s="9">
        <v>0</v>
      </c>
      <c r="Q53" s="9">
        <v>0</v>
      </c>
      <c r="R53" s="12">
        <f t="shared" si="5"/>
        <v>6</v>
      </c>
      <c r="S53" s="12">
        <f t="shared" si="6"/>
        <v>6</v>
      </c>
      <c r="T53" s="12">
        <f t="shared" si="7"/>
        <v>12</v>
      </c>
      <c r="U53" s="1" t="str">
        <f t="shared" si="0"/>
        <v>ghost</v>
      </c>
      <c r="V53" s="9" t="s">
        <v>26</v>
      </c>
      <c r="W53" s="9" t="s">
        <v>11</v>
      </c>
      <c r="X53" s="1" t="s">
        <v>8</v>
      </c>
      <c r="Y53" s="1" t="str">
        <f>B54</f>
        <v>Drifblim</v>
      </c>
      <c r="Z53" s="12">
        <f t="shared" si="1"/>
        <v>8</v>
      </c>
      <c r="AA53" t="str">
        <f t="shared" si="61"/>
        <v>Drifloon</v>
      </c>
      <c r="AB53" s="2"/>
      <c r="AC53" t="s">
        <v>708</v>
      </c>
      <c r="AD53" s="8" t="str">
        <f>VLOOKUP(AC53,moves!A:B,2,FALSE)</f>
        <v>ghost</v>
      </c>
      <c r="AE53" s="8">
        <f>VLOOKUP(AC53,moves!A:D,4,FALSE)</f>
        <v>3</v>
      </c>
      <c r="AF53" s="8" t="str">
        <f>VLOOKUP(AC53,moves!A:E,5,FALSE)</f>
        <v>Add any critical hits or status symbols rolled on this attack to the next attack roll of the user.</v>
      </c>
      <c r="AG53" s="6">
        <v>0</v>
      </c>
      <c r="AH53" s="6">
        <v>0</v>
      </c>
      <c r="AI53" s="8" t="str" cm="1">
        <f t="array" ref="AI53">_xlfn.IFS(AG53=1, "starter", AH53=1, "legendary",T53&lt; 13, "weak",T53&lt; 17, "moderate", TRUE, "strong")</f>
        <v>weak</v>
      </c>
      <c r="AK53">
        <v>1</v>
      </c>
      <c r="AL53" s="8">
        <v>0</v>
      </c>
      <c r="AM53" s="8">
        <v>0</v>
      </c>
    </row>
    <row r="54" spans="1:39" x14ac:dyDescent="0.25">
      <c r="A54" s="9">
        <v>426</v>
      </c>
      <c r="B54" s="2" t="s">
        <v>180</v>
      </c>
      <c r="C54" s="3" t="s">
        <v>42</v>
      </c>
      <c r="D54" s="3" t="s">
        <v>5</v>
      </c>
      <c r="E54" s="1">
        <v>150</v>
      </c>
      <c r="F54" s="1">
        <v>80</v>
      </c>
      <c r="G54" s="1">
        <v>44</v>
      </c>
      <c r="H54" s="1">
        <v>90</v>
      </c>
      <c r="I54" s="1">
        <v>54</v>
      </c>
      <c r="J54" s="1">
        <v>80</v>
      </c>
      <c r="K54" s="1" t="s">
        <v>352</v>
      </c>
      <c r="L54" s="1" t="s">
        <v>301</v>
      </c>
      <c r="M54" s="1" t="s">
        <v>300</v>
      </c>
      <c r="N54" s="9">
        <f t="shared" si="3"/>
        <v>8.5</v>
      </c>
      <c r="O54" s="9">
        <f t="shared" si="4"/>
        <v>8.9400000000000013</v>
      </c>
      <c r="P54" s="9">
        <v>0</v>
      </c>
      <c r="Q54" s="9">
        <v>0</v>
      </c>
      <c r="R54" s="12">
        <f t="shared" si="5"/>
        <v>9</v>
      </c>
      <c r="S54" s="12">
        <f t="shared" si="6"/>
        <v>9</v>
      </c>
      <c r="T54" s="12">
        <f t="shared" si="7"/>
        <v>18</v>
      </c>
      <c r="U54" s="1" t="str">
        <f t="shared" si="0"/>
        <v>ghost</v>
      </c>
      <c r="V54" s="9" t="s">
        <v>26</v>
      </c>
      <c r="W54" s="9" t="s">
        <v>11</v>
      </c>
      <c r="X54" s="9" t="s">
        <v>8</v>
      </c>
      <c r="Z54" s="12" t="str">
        <f t="shared" si="1"/>
        <v/>
      </c>
      <c r="AA54" t="str">
        <f t="shared" si="61"/>
        <v>Drifblim</v>
      </c>
      <c r="AB54" s="2"/>
      <c r="AC54" t="s">
        <v>520</v>
      </c>
      <c r="AD54" s="8" t="str">
        <f>VLOOKUP(AC54,moves!A:B,2,FALSE)</f>
        <v>normal</v>
      </c>
      <c r="AE54" s="8">
        <f>VLOOKUP(AC54,moves!A:D,4,FALSE)</f>
        <v>6</v>
      </c>
      <c r="AF54" s="8" t="str">
        <f>VLOOKUP(AC54,moves!A:E,5,FALSE)</f>
        <v>Critical hits deal +2 damage but for each critical hit rolled: The user takes 3 damage.</v>
      </c>
      <c r="AG54" s="6">
        <v>0</v>
      </c>
      <c r="AH54" s="6">
        <v>0</v>
      </c>
      <c r="AI54" s="8" t="str" cm="1">
        <f t="array" ref="AI54">_xlfn.IFS(AG54=1, "starter", AH54=1, "legendary",T54&lt; 13, "weak",T54&lt; 17, "moderate", TRUE, "strong")</f>
        <v>strong</v>
      </c>
      <c r="AK54">
        <v>2</v>
      </c>
      <c r="AL54" s="8">
        <v>0</v>
      </c>
      <c r="AM54" s="8">
        <v>0</v>
      </c>
    </row>
    <row r="55" spans="1:39" x14ac:dyDescent="0.25">
      <c r="A55" s="9">
        <v>427</v>
      </c>
      <c r="B55" s="2" t="s">
        <v>181</v>
      </c>
      <c r="C55" s="3" t="s">
        <v>8</v>
      </c>
      <c r="E55" s="1">
        <v>55</v>
      </c>
      <c r="F55" s="1">
        <v>66</v>
      </c>
      <c r="G55" s="1">
        <v>44</v>
      </c>
      <c r="H55" s="1">
        <v>44</v>
      </c>
      <c r="I55" s="1">
        <v>56</v>
      </c>
      <c r="J55" s="1">
        <v>85</v>
      </c>
      <c r="K55" s="1" t="s">
        <v>353</v>
      </c>
      <c r="L55" s="1" t="s">
        <v>301</v>
      </c>
      <c r="M55" s="1" t="s">
        <v>299</v>
      </c>
      <c r="N55" s="9">
        <f t="shared" si="3"/>
        <v>7.1400000000000006</v>
      </c>
      <c r="O55" s="9">
        <f t="shared" si="4"/>
        <v>5.2</v>
      </c>
      <c r="P55" s="9">
        <v>0</v>
      </c>
      <c r="Q55" s="9">
        <v>0</v>
      </c>
      <c r="R55" s="12">
        <f t="shared" si="5"/>
        <v>7</v>
      </c>
      <c r="S55" s="12">
        <f t="shared" si="6"/>
        <v>5</v>
      </c>
      <c r="T55" s="12">
        <f t="shared" si="7"/>
        <v>12</v>
      </c>
      <c r="U55" s="1" t="str">
        <f t="shared" si="0"/>
        <v>normal</v>
      </c>
      <c r="V55" s="1" t="s">
        <v>22</v>
      </c>
      <c r="W55" s="1" t="s">
        <v>5</v>
      </c>
      <c r="X55" s="1" t="s">
        <v>26</v>
      </c>
      <c r="Y55" s="1" t="str">
        <f>B56</f>
        <v>Lopunny</v>
      </c>
      <c r="Z55" s="12">
        <f t="shared" si="1"/>
        <v>6</v>
      </c>
      <c r="AA55" t="str">
        <f t="shared" si="61"/>
        <v>Buneary</v>
      </c>
      <c r="AB55" s="2"/>
      <c r="AC55" t="s">
        <v>595</v>
      </c>
      <c r="AD55" s="8" t="str">
        <f>VLOOKUP(AC55,moves!A:B,2,FALSE)</f>
        <v>normal</v>
      </c>
      <c r="AE55" s="8">
        <f>VLOOKUP(AC55,moves!A:D,4,FALSE)</f>
        <v>3</v>
      </c>
      <c r="AF55" s="8" t="str">
        <f>VLOOKUP(AC55,moves!A:E,5,FALSE)</f>
        <v>If a status symbol is rolled: Inflict the Paralysed status on the target.</v>
      </c>
      <c r="AG55" s="6">
        <v>0</v>
      </c>
      <c r="AH55" s="6">
        <v>0</v>
      </c>
      <c r="AI55" s="8" t="str" cm="1">
        <f t="array" ref="AI55">_xlfn.IFS(AG55=1, "starter", AH55=1, "legendary",T55&lt; 13, "weak",T55&lt; 17, "moderate", TRUE, "strong")</f>
        <v>weak</v>
      </c>
      <c r="AK55">
        <v>1</v>
      </c>
      <c r="AL55" s="8">
        <v>0</v>
      </c>
      <c r="AM55" s="8">
        <v>0</v>
      </c>
    </row>
    <row r="56" spans="1:39" x14ac:dyDescent="0.25">
      <c r="A56" s="9">
        <v>428</v>
      </c>
      <c r="B56" s="2" t="s">
        <v>182</v>
      </c>
      <c r="C56" s="3" t="s">
        <v>8</v>
      </c>
      <c r="E56" s="1">
        <v>65</v>
      </c>
      <c r="F56" s="1">
        <v>76</v>
      </c>
      <c r="G56" s="1">
        <v>84</v>
      </c>
      <c r="H56" s="1">
        <v>54</v>
      </c>
      <c r="I56" s="1">
        <v>96</v>
      </c>
      <c r="J56" s="1">
        <v>105</v>
      </c>
      <c r="K56" s="1" t="s">
        <v>353</v>
      </c>
      <c r="L56" s="1" t="s">
        <v>301</v>
      </c>
      <c r="M56" s="9" t="s">
        <v>299</v>
      </c>
      <c r="N56" s="9">
        <f t="shared" si="3"/>
        <v>8.5400000000000009</v>
      </c>
      <c r="O56" s="9">
        <f t="shared" si="4"/>
        <v>8</v>
      </c>
      <c r="P56" s="9">
        <v>0</v>
      </c>
      <c r="Q56" s="9">
        <v>0</v>
      </c>
      <c r="R56" s="12">
        <f t="shared" si="5"/>
        <v>9</v>
      </c>
      <c r="S56" s="12">
        <f t="shared" si="6"/>
        <v>8</v>
      </c>
      <c r="T56" s="12">
        <f t="shared" si="7"/>
        <v>17</v>
      </c>
      <c r="U56" s="1" t="str">
        <f t="shared" si="0"/>
        <v>normal</v>
      </c>
      <c r="V56" s="1" t="s">
        <v>22</v>
      </c>
      <c r="W56" s="1" t="s">
        <v>5</v>
      </c>
      <c r="X56" s="1" t="s">
        <v>26</v>
      </c>
      <c r="Z56" s="12" t="str">
        <f t="shared" si="1"/>
        <v/>
      </c>
      <c r="AA56" t="str">
        <f t="shared" si="61"/>
        <v>Lopunny</v>
      </c>
      <c r="AB56" s="2"/>
      <c r="AC56" t="s">
        <v>573</v>
      </c>
      <c r="AD56" s="8" t="str">
        <f>VLOOKUP(AC56,moves!A:B,2,FALSE)</f>
        <v>fighting</v>
      </c>
      <c r="AE56" s="8">
        <f>VLOOKUP(AC56,moves!A:D,4,FALSE)</f>
        <v>5</v>
      </c>
      <c r="AF56" s="8" t="str">
        <f>VLOOKUP(AC56,moves!A:E,5,FALSE)</f>
        <v xml:space="preserve">Deals 4 extra damage to Flying-type Pokémon. For each status symbol rolled: The user takes 2 damage. </v>
      </c>
      <c r="AG56" s="6">
        <v>0</v>
      </c>
      <c r="AH56" s="6">
        <v>0</v>
      </c>
      <c r="AI56" s="8" t="str" cm="1">
        <f t="array" ref="AI56">_xlfn.IFS(AG56=1, "starter", AH56=1, "legendary",T56&lt; 13, "weak",T56&lt; 17, "moderate", TRUE, "strong")</f>
        <v>strong</v>
      </c>
      <c r="AK56">
        <v>2</v>
      </c>
      <c r="AL56" s="8">
        <v>0</v>
      </c>
      <c r="AM56" s="8">
        <v>0</v>
      </c>
    </row>
    <row r="57" spans="1:39" x14ac:dyDescent="0.25">
      <c r="A57" s="9">
        <v>200</v>
      </c>
      <c r="B57" s="2" t="s">
        <v>85</v>
      </c>
      <c r="C57" s="3" t="s">
        <v>42</v>
      </c>
      <c r="E57" s="1">
        <v>60</v>
      </c>
      <c r="F57" s="1">
        <v>60</v>
      </c>
      <c r="G57" s="1">
        <v>60</v>
      </c>
      <c r="H57" s="1">
        <v>85</v>
      </c>
      <c r="I57" s="1">
        <v>85</v>
      </c>
      <c r="J57" s="1">
        <v>85</v>
      </c>
      <c r="K57" s="1" t="s">
        <v>354</v>
      </c>
      <c r="L57" s="1" t="s">
        <v>298</v>
      </c>
      <c r="M57" s="1" t="s">
        <v>299</v>
      </c>
      <c r="N57" s="9">
        <f t="shared" si="3"/>
        <v>8.25</v>
      </c>
      <c r="O57" s="9">
        <f t="shared" si="4"/>
        <v>6.75</v>
      </c>
      <c r="P57" s="9">
        <v>0</v>
      </c>
      <c r="Q57" s="9">
        <v>0</v>
      </c>
      <c r="R57" s="12">
        <f t="shared" si="5"/>
        <v>8</v>
      </c>
      <c r="S57" s="12">
        <f t="shared" si="6"/>
        <v>7</v>
      </c>
      <c r="T57" s="12">
        <f t="shared" si="7"/>
        <v>15</v>
      </c>
      <c r="U57" s="1" t="str">
        <f t="shared" si="0"/>
        <v>ghost</v>
      </c>
      <c r="V57" s="1" t="s">
        <v>4</v>
      </c>
      <c r="W57" s="1" t="s">
        <v>33</v>
      </c>
      <c r="X57" s="1" t="s">
        <v>2</v>
      </c>
      <c r="Y57" s="1" t="str">
        <f>B58</f>
        <v>Mismagius</v>
      </c>
      <c r="Z57" s="12">
        <f t="shared" si="1"/>
        <v>4</v>
      </c>
      <c r="AA57" t="str">
        <f t="shared" si="61"/>
        <v>Misdreavus</v>
      </c>
      <c r="AB57" s="2"/>
      <c r="AC57" t="s">
        <v>895</v>
      </c>
      <c r="AD57" s="8" t="str">
        <f>VLOOKUP(AC57,moves!A:B,2,FALSE)</f>
        <v>ghost</v>
      </c>
      <c r="AE57" s="8">
        <f>VLOOKUP(AC57,moves!A:D,4,FALSE)</f>
        <v>2</v>
      </c>
      <c r="AF57" s="8" t="str">
        <f>VLOOKUP(AC57,moves!A:E,5,FALSE)</f>
        <v>Effect may be used once until the user switches out: Use another move this turn.</v>
      </c>
      <c r="AG57" s="6">
        <v>0</v>
      </c>
      <c r="AH57" s="6">
        <v>0</v>
      </c>
      <c r="AI57" s="8" t="str" cm="1">
        <f t="array" ref="AI57">_xlfn.IFS(AG57=1, "starter", AH57=1, "legendary",T57&lt; 13, "weak",T57&lt; 17, "moderate", TRUE, "strong")</f>
        <v>moderate</v>
      </c>
      <c r="AK57">
        <v>1</v>
      </c>
      <c r="AL57" s="8">
        <v>0</v>
      </c>
      <c r="AM57" s="8">
        <v>0</v>
      </c>
    </row>
    <row r="58" spans="1:39" x14ac:dyDescent="0.25">
      <c r="A58" s="9">
        <v>429</v>
      </c>
      <c r="B58" s="2" t="s">
        <v>183</v>
      </c>
      <c r="C58" s="3" t="s">
        <v>42</v>
      </c>
      <c r="E58" s="1">
        <v>60</v>
      </c>
      <c r="F58" s="1">
        <v>60</v>
      </c>
      <c r="G58" s="1">
        <v>60</v>
      </c>
      <c r="H58" s="1">
        <v>105</v>
      </c>
      <c r="I58" s="1">
        <v>105</v>
      </c>
      <c r="J58" s="1">
        <v>105</v>
      </c>
      <c r="K58" s="1" t="s">
        <v>355</v>
      </c>
      <c r="L58" s="1" t="s">
        <v>298</v>
      </c>
      <c r="M58" s="1" t="s">
        <v>299</v>
      </c>
      <c r="N58" s="9">
        <f t="shared" si="3"/>
        <v>10.050000000000001</v>
      </c>
      <c r="O58" s="9">
        <f t="shared" si="4"/>
        <v>7.35</v>
      </c>
      <c r="P58" s="9">
        <v>0</v>
      </c>
      <c r="Q58" s="9">
        <v>0</v>
      </c>
      <c r="R58" s="12">
        <f t="shared" si="5"/>
        <v>10</v>
      </c>
      <c r="S58" s="12">
        <f t="shared" si="6"/>
        <v>7</v>
      </c>
      <c r="T58" s="12">
        <f t="shared" si="7"/>
        <v>17</v>
      </c>
      <c r="U58" s="1" t="str">
        <f t="shared" si="0"/>
        <v>ghost</v>
      </c>
      <c r="V58" s="1" t="s">
        <v>4</v>
      </c>
      <c r="W58" s="1" t="s">
        <v>33</v>
      </c>
      <c r="X58" s="1" t="s">
        <v>2</v>
      </c>
      <c r="Z58" s="12" t="str">
        <f t="shared" si="1"/>
        <v/>
      </c>
      <c r="AA58" t="str">
        <f t="shared" si="61"/>
        <v>Mismagius</v>
      </c>
      <c r="AB58" s="2"/>
      <c r="AC58" t="s">
        <v>594</v>
      </c>
      <c r="AD58" s="8" t="str">
        <f>VLOOKUP(AC58,moves!A:B,2,FALSE)</f>
        <v>fire</v>
      </c>
      <c r="AE58" s="8">
        <f>VLOOKUP(AC58,moves!A:D,4,FALSE)</f>
        <v>3</v>
      </c>
      <c r="AF58" s="8" t="str">
        <f>VLOOKUP(AC58,moves!A:E,5,FALSE)</f>
        <v>Inflict the Burned status on the target. If the target is already Burned, attack strength is increased to 5.</v>
      </c>
      <c r="AG58" s="6">
        <v>0</v>
      </c>
      <c r="AH58" s="6">
        <v>0</v>
      </c>
      <c r="AI58" s="8" t="str" cm="1">
        <f t="array" ref="AI58">_xlfn.IFS(AG58=1, "starter", AH58=1, "legendary",T58&lt; 13, "weak",T58&lt; 17, "moderate", TRUE, "strong")</f>
        <v>strong</v>
      </c>
      <c r="AK58">
        <v>2</v>
      </c>
      <c r="AL58" s="8">
        <v>0</v>
      </c>
      <c r="AM58" s="8">
        <v>0</v>
      </c>
    </row>
    <row r="59" spans="1:39" x14ac:dyDescent="0.25">
      <c r="A59" s="9">
        <v>198</v>
      </c>
      <c r="B59" s="2" t="s">
        <v>84</v>
      </c>
      <c r="C59" s="3" t="s">
        <v>9</v>
      </c>
      <c r="D59" s="3" t="s">
        <v>5</v>
      </c>
      <c r="E59" s="1">
        <v>60</v>
      </c>
      <c r="F59" s="1">
        <v>85</v>
      </c>
      <c r="G59" s="1">
        <v>42</v>
      </c>
      <c r="H59" s="1">
        <v>85</v>
      </c>
      <c r="I59" s="1">
        <v>42</v>
      </c>
      <c r="J59" s="1">
        <v>91</v>
      </c>
      <c r="K59" s="1" t="s">
        <v>356</v>
      </c>
      <c r="L59" s="1" t="s">
        <v>298</v>
      </c>
      <c r="M59" s="1" t="s">
        <v>299</v>
      </c>
      <c r="N59" s="9">
        <f t="shared" si="3"/>
        <v>8.74</v>
      </c>
      <c r="O59" s="9">
        <f t="shared" si="4"/>
        <v>4.92</v>
      </c>
      <c r="P59" s="9">
        <v>0</v>
      </c>
      <c r="Q59" s="9">
        <v>0</v>
      </c>
      <c r="R59" s="12">
        <f t="shared" si="5"/>
        <v>9</v>
      </c>
      <c r="S59" s="12">
        <f t="shared" si="6"/>
        <v>5</v>
      </c>
      <c r="T59" s="12">
        <f t="shared" si="7"/>
        <v>14</v>
      </c>
      <c r="U59" s="1" t="str">
        <f t="shared" si="0"/>
        <v>dark</v>
      </c>
      <c r="V59" s="1" t="str">
        <f>IF(D59 = 0, "", D59)</f>
        <v>flying</v>
      </c>
      <c r="W59" s="1" t="s">
        <v>22</v>
      </c>
      <c r="X59" s="1" t="s">
        <v>42</v>
      </c>
      <c r="Y59" s="1" t="str">
        <f>B60</f>
        <v>Honchkrow</v>
      </c>
      <c r="Z59" s="12">
        <f t="shared" si="1"/>
        <v>5</v>
      </c>
      <c r="AA59" t="str">
        <f t="shared" si="61"/>
        <v>Murkrow</v>
      </c>
      <c r="AB59" s="2"/>
      <c r="AC59" t="s">
        <v>497</v>
      </c>
      <c r="AD59" s="8" t="str">
        <f>VLOOKUP(AC59,moves!A:B,2,FALSE)</f>
        <v>flying</v>
      </c>
      <c r="AE59" s="8">
        <f>VLOOKUP(AC59,moves!A:D,4,FALSE)</f>
        <v>3</v>
      </c>
      <c r="AF59" s="8" t="str">
        <f>VLOOKUP(AC59,moves!A:E,5,FALSE)</f>
        <v>When the target next attacks, remove a regular hit from the roll.</v>
      </c>
      <c r="AG59" s="6">
        <v>0</v>
      </c>
      <c r="AH59" s="6">
        <v>0</v>
      </c>
      <c r="AI59" s="8" t="str" cm="1">
        <f t="array" ref="AI59">_xlfn.IFS(AG59=1, "starter", AH59=1, "legendary",T59&lt; 13, "weak",T59&lt; 17, "moderate", TRUE, "strong")</f>
        <v>moderate</v>
      </c>
      <c r="AK59">
        <v>1</v>
      </c>
      <c r="AL59" s="8">
        <v>0</v>
      </c>
      <c r="AM59" s="8">
        <v>0</v>
      </c>
    </row>
    <row r="60" spans="1:39" x14ac:dyDescent="0.25">
      <c r="A60" s="9">
        <v>430</v>
      </c>
      <c r="B60" s="2" t="s">
        <v>184</v>
      </c>
      <c r="C60" s="3" t="s">
        <v>9</v>
      </c>
      <c r="D60" s="3" t="s">
        <v>5</v>
      </c>
      <c r="E60" s="1">
        <v>100</v>
      </c>
      <c r="F60" s="1">
        <v>125</v>
      </c>
      <c r="G60" s="1">
        <v>52</v>
      </c>
      <c r="H60" s="1">
        <v>105</v>
      </c>
      <c r="I60" s="1">
        <v>52</v>
      </c>
      <c r="J60" s="1">
        <v>71</v>
      </c>
      <c r="K60" s="1" t="s">
        <v>357</v>
      </c>
      <c r="L60" s="2" t="s">
        <v>298</v>
      </c>
      <c r="M60" s="2" t="s">
        <v>299</v>
      </c>
      <c r="N60" s="9">
        <f t="shared" si="3"/>
        <v>10.14</v>
      </c>
      <c r="O60" s="9">
        <f t="shared" si="4"/>
        <v>7.12</v>
      </c>
      <c r="P60" s="9">
        <v>0</v>
      </c>
      <c r="Q60" s="9">
        <v>0</v>
      </c>
      <c r="R60" s="12">
        <f t="shared" si="5"/>
        <v>10</v>
      </c>
      <c r="S60" s="12">
        <f t="shared" si="6"/>
        <v>7</v>
      </c>
      <c r="T60" s="12">
        <f t="shared" si="7"/>
        <v>17</v>
      </c>
      <c r="U60" s="1" t="str">
        <f t="shared" si="0"/>
        <v>dark</v>
      </c>
      <c r="V60" s="1" t="str">
        <f>IF(D60 = 0, "", D60)</f>
        <v>flying</v>
      </c>
      <c r="W60" s="1" t="s">
        <v>22</v>
      </c>
      <c r="X60" s="1" t="s">
        <v>42</v>
      </c>
      <c r="Z60" s="12" t="str">
        <f t="shared" si="1"/>
        <v/>
      </c>
      <c r="AA60" t="str">
        <f t="shared" si="61"/>
        <v>Honchkrow</v>
      </c>
      <c r="AB60" s="2"/>
      <c r="AC60" t="s">
        <v>524</v>
      </c>
      <c r="AD60" s="8" t="str">
        <f>VLOOKUP(AC60,moves!A:B,2,FALSE)</f>
        <v>dark</v>
      </c>
      <c r="AE60" s="8">
        <f>VLOOKUP(AC60,moves!A:D,4,FALSE)</f>
        <v>4</v>
      </c>
      <c r="AF60" s="8" t="str">
        <f>VLOOKUP(AC60,moves!A:E,5,FALSE)</f>
        <v>Critical hits deal +1 damage.</v>
      </c>
      <c r="AG60" s="6">
        <v>0</v>
      </c>
      <c r="AH60" s="6">
        <v>0</v>
      </c>
      <c r="AI60" s="8" t="str" cm="1">
        <f t="array" ref="AI60">_xlfn.IFS(AG60=1, "starter", AH60=1, "legendary",T60&lt; 13, "weak",T60&lt; 17, "moderate", TRUE, "strong")</f>
        <v>strong</v>
      </c>
      <c r="AK60">
        <v>2</v>
      </c>
      <c r="AL60" s="8">
        <v>0</v>
      </c>
      <c r="AM60" s="8">
        <v>0</v>
      </c>
    </row>
    <row r="61" spans="1:39" x14ac:dyDescent="0.25">
      <c r="A61" s="9">
        <v>431</v>
      </c>
      <c r="B61" s="2" t="s">
        <v>185</v>
      </c>
      <c r="C61" s="3" t="s">
        <v>8</v>
      </c>
      <c r="E61" s="1">
        <v>49</v>
      </c>
      <c r="F61" s="1">
        <v>55</v>
      </c>
      <c r="G61" s="1">
        <v>42</v>
      </c>
      <c r="H61" s="1">
        <v>42</v>
      </c>
      <c r="I61" s="1">
        <v>37</v>
      </c>
      <c r="J61" s="1">
        <v>85</v>
      </c>
      <c r="K61" s="1" t="s">
        <v>358</v>
      </c>
      <c r="L61" s="2" t="s">
        <v>301</v>
      </c>
      <c r="M61" s="2" t="s">
        <v>302</v>
      </c>
      <c r="N61" s="9">
        <f t="shared" si="3"/>
        <v>6.57</v>
      </c>
      <c r="O61" s="9">
        <f t="shared" si="4"/>
        <v>4.33</v>
      </c>
      <c r="P61" s="9">
        <v>0</v>
      </c>
      <c r="Q61" s="9">
        <v>0</v>
      </c>
      <c r="R61" s="12">
        <f t="shared" si="5"/>
        <v>7</v>
      </c>
      <c r="S61" s="12">
        <f t="shared" si="6"/>
        <v>4</v>
      </c>
      <c r="T61" s="12">
        <f t="shared" si="7"/>
        <v>11</v>
      </c>
      <c r="U61" s="1" t="str">
        <f t="shared" si="0"/>
        <v>normal</v>
      </c>
      <c r="V61" s="1" t="s">
        <v>16</v>
      </c>
      <c r="W61" s="1" t="s">
        <v>9</v>
      </c>
      <c r="X61" s="1" t="s">
        <v>11</v>
      </c>
      <c r="Y61" s="1" t="str">
        <f>B62</f>
        <v>Purugly</v>
      </c>
      <c r="Z61" s="12">
        <f t="shared" si="1"/>
        <v>6</v>
      </c>
      <c r="AA61" t="str">
        <f t="shared" si="61"/>
        <v>Glameow</v>
      </c>
      <c r="AB61" s="2"/>
      <c r="AC61" t="s">
        <v>511</v>
      </c>
      <c r="AD61" s="8" t="str">
        <f>VLOOKUP(AC61,moves!A:B,2,FALSE)</f>
        <v>fairy</v>
      </c>
      <c r="AE61" s="8">
        <f>VLOOKUP(AC61,moves!A:D,4,FALSE)</f>
        <v>3</v>
      </c>
      <c r="AF61" s="8" t="str">
        <f>VLOOKUP(AC61,moves!A:E,5,FALSE)</f>
        <v>When the target next attacks, remove a regular hit from the roll.</v>
      </c>
      <c r="AG61" s="6">
        <v>0</v>
      </c>
      <c r="AH61" s="6">
        <v>0</v>
      </c>
      <c r="AI61" s="8" t="str" cm="1">
        <f t="array" ref="AI61">_xlfn.IFS(AG61=1, "starter", AH61=1, "legendary",T61&lt; 13, "weak",T61&lt; 17, "moderate", TRUE, "strong")</f>
        <v>weak</v>
      </c>
      <c r="AK61">
        <v>1</v>
      </c>
      <c r="AL61" s="8">
        <v>0</v>
      </c>
      <c r="AM61" s="8">
        <v>0</v>
      </c>
    </row>
    <row r="62" spans="1:39" x14ac:dyDescent="0.25">
      <c r="A62" s="9">
        <v>432</v>
      </c>
      <c r="B62" s="2" t="s">
        <v>186</v>
      </c>
      <c r="C62" s="3" t="s">
        <v>8</v>
      </c>
      <c r="E62" s="1">
        <v>71</v>
      </c>
      <c r="F62" s="1">
        <v>82</v>
      </c>
      <c r="G62" s="1">
        <v>64</v>
      </c>
      <c r="H62" s="1">
        <v>64</v>
      </c>
      <c r="I62" s="1">
        <v>59</v>
      </c>
      <c r="J62" s="1">
        <v>112</v>
      </c>
      <c r="K62" s="1" t="s">
        <v>359</v>
      </c>
      <c r="L62" s="2" t="s">
        <v>301</v>
      </c>
      <c r="M62" s="2" t="s">
        <v>302</v>
      </c>
      <c r="N62" s="9">
        <f t="shared" si="3"/>
        <v>9.2200000000000024</v>
      </c>
      <c r="O62" s="9">
        <f t="shared" si="4"/>
        <v>6.5299999999999994</v>
      </c>
      <c r="P62" s="9">
        <v>0</v>
      </c>
      <c r="Q62" s="9">
        <v>0</v>
      </c>
      <c r="R62" s="12">
        <f t="shared" si="5"/>
        <v>9</v>
      </c>
      <c r="S62" s="12">
        <f t="shared" si="6"/>
        <v>7</v>
      </c>
      <c r="T62" s="12">
        <f t="shared" si="7"/>
        <v>16</v>
      </c>
      <c r="U62" s="1" t="str">
        <f t="shared" si="0"/>
        <v>normal</v>
      </c>
      <c r="V62" s="1" t="s">
        <v>16</v>
      </c>
      <c r="W62" s="1" t="s">
        <v>9</v>
      </c>
      <c r="X62" s="1" t="s">
        <v>11</v>
      </c>
      <c r="Z62" s="12" t="str">
        <f t="shared" si="1"/>
        <v/>
      </c>
      <c r="AA62" t="str">
        <f t="shared" si="61"/>
        <v>Purugly</v>
      </c>
      <c r="AB62" s="2"/>
      <c r="AC62" t="s">
        <v>534</v>
      </c>
      <c r="AD62" s="8" t="str">
        <f>VLOOKUP(AC62,moves!A:B,2,FALSE)</f>
        <v>normal</v>
      </c>
      <c r="AE62" s="8">
        <f>VLOOKUP(AC62,moves!A:D,4,FALSE)</f>
        <v>4</v>
      </c>
      <c r="AF62" s="8" t="str">
        <f>VLOOKUP(AC62,moves!A:E,5,FALSE)</f>
        <v>Critical hits deal +1 damage.</v>
      </c>
      <c r="AG62" s="6">
        <v>0</v>
      </c>
      <c r="AH62" s="6">
        <v>0</v>
      </c>
      <c r="AI62" s="8" t="str" cm="1">
        <f t="array" ref="AI62">_xlfn.IFS(AG62=1, "starter", AH62=1, "legendary",T62&lt; 13, "weak",T62&lt; 17, "moderate", TRUE, "strong")</f>
        <v>moderate</v>
      </c>
      <c r="AK62">
        <v>2</v>
      </c>
      <c r="AL62" s="8">
        <v>0</v>
      </c>
      <c r="AM62" s="8">
        <v>0</v>
      </c>
    </row>
    <row r="63" spans="1:39" x14ac:dyDescent="0.25">
      <c r="A63" s="9">
        <v>433</v>
      </c>
      <c r="B63" s="2" t="s">
        <v>187</v>
      </c>
      <c r="C63" s="3" t="s">
        <v>26</v>
      </c>
      <c r="E63" s="1">
        <v>45</v>
      </c>
      <c r="F63" s="1">
        <v>30</v>
      </c>
      <c r="G63" s="1">
        <v>50</v>
      </c>
      <c r="H63" s="1">
        <v>65</v>
      </c>
      <c r="I63" s="1">
        <v>50</v>
      </c>
      <c r="J63" s="1">
        <v>45</v>
      </c>
      <c r="K63" s="1" t="s">
        <v>360</v>
      </c>
      <c r="L63" s="2" t="s">
        <v>304</v>
      </c>
      <c r="M63" s="2" t="s">
        <v>302</v>
      </c>
      <c r="N63" s="9">
        <f t="shared" si="3"/>
        <v>5.35</v>
      </c>
      <c r="O63" s="9">
        <f t="shared" si="4"/>
        <v>4.8</v>
      </c>
      <c r="P63" s="9">
        <v>0</v>
      </c>
      <c r="Q63" s="9">
        <v>0</v>
      </c>
      <c r="R63" s="12">
        <f t="shared" si="5"/>
        <v>5</v>
      </c>
      <c r="S63" s="12">
        <f t="shared" si="6"/>
        <v>5</v>
      </c>
      <c r="T63" s="12">
        <f t="shared" si="7"/>
        <v>10</v>
      </c>
      <c r="U63" s="1" t="str">
        <f t="shared" si="0"/>
        <v>psychic</v>
      </c>
      <c r="V63" s="1" t="s">
        <v>8</v>
      </c>
      <c r="W63" s="1" t="s">
        <v>11</v>
      </c>
      <c r="X63" s="1" t="s">
        <v>42</v>
      </c>
      <c r="Y63" s="1" t="str">
        <f>B64</f>
        <v>Chimecho</v>
      </c>
      <c r="Z63" s="12">
        <f t="shared" si="1"/>
        <v>6</v>
      </c>
      <c r="AA63" t="str">
        <f t="shared" si="61"/>
        <v>Chingling</v>
      </c>
      <c r="AB63" s="2"/>
      <c r="AC63" t="s">
        <v>499</v>
      </c>
      <c r="AD63" s="8" t="str">
        <f>VLOOKUP(AC63,moves!A:B,2,FALSE)</f>
        <v>psychic</v>
      </c>
      <c r="AE63" s="8">
        <f>VLOOKUP(AC63,moves!A:D,4,FALSE)</f>
        <v>2</v>
      </c>
      <c r="AF63" s="8" t="str">
        <f>VLOOKUP(AC63,moves!A:E,5,FALSE)</f>
        <v>Inflict the Confused status on the target.</v>
      </c>
      <c r="AG63" s="6">
        <v>0</v>
      </c>
      <c r="AH63" s="6">
        <v>0</v>
      </c>
      <c r="AI63" s="8" t="str" cm="1">
        <f t="array" ref="AI63">_xlfn.IFS(AG63=1, "starter", AH63=1, "legendary",T63&lt; 13, "weak",T63&lt; 17, "moderate", TRUE, "strong")</f>
        <v>weak</v>
      </c>
      <c r="AK63">
        <v>1</v>
      </c>
      <c r="AL63" s="8">
        <v>0</v>
      </c>
      <c r="AM63" s="8">
        <v>0</v>
      </c>
    </row>
    <row r="64" spans="1:39" x14ac:dyDescent="0.25">
      <c r="A64" s="9">
        <v>358</v>
      </c>
      <c r="B64" s="2" t="s">
        <v>130</v>
      </c>
      <c r="C64" s="3" t="s">
        <v>26</v>
      </c>
      <c r="E64" s="1">
        <v>75</v>
      </c>
      <c r="F64" s="1">
        <v>50</v>
      </c>
      <c r="G64" s="1">
        <v>80</v>
      </c>
      <c r="H64" s="1">
        <v>95</v>
      </c>
      <c r="I64" s="1">
        <v>90</v>
      </c>
      <c r="J64" s="1">
        <v>65</v>
      </c>
      <c r="K64" s="1" t="s">
        <v>361</v>
      </c>
      <c r="L64" s="2" t="s">
        <v>304</v>
      </c>
      <c r="M64" s="2" t="s">
        <v>302</v>
      </c>
      <c r="N64" s="9">
        <f t="shared" si="3"/>
        <v>7.85</v>
      </c>
      <c r="O64" s="9">
        <f t="shared" si="4"/>
        <v>8.1</v>
      </c>
      <c r="P64" s="9">
        <v>0</v>
      </c>
      <c r="Q64" s="9">
        <v>0</v>
      </c>
      <c r="R64" s="12">
        <f t="shared" si="5"/>
        <v>8</v>
      </c>
      <c r="S64" s="12">
        <f t="shared" si="6"/>
        <v>8</v>
      </c>
      <c r="T64" s="12">
        <f t="shared" si="7"/>
        <v>16</v>
      </c>
      <c r="U64" s="1" t="str">
        <f t="shared" si="0"/>
        <v>psychic</v>
      </c>
      <c r="V64" s="1" t="s">
        <v>8</v>
      </c>
      <c r="W64" s="1" t="s">
        <v>11</v>
      </c>
      <c r="X64" s="1" t="s">
        <v>42</v>
      </c>
      <c r="Z64" s="12" t="str">
        <f t="shared" si="1"/>
        <v/>
      </c>
      <c r="AA64" t="str">
        <f t="shared" si="61"/>
        <v>Chimecho</v>
      </c>
      <c r="AB64" s="2"/>
      <c r="AC64" t="s">
        <v>521</v>
      </c>
      <c r="AD64" s="8" t="str">
        <f>VLOOKUP(AC64,moves!A:B,2,FALSE)</f>
        <v>normal</v>
      </c>
      <c r="AE64" s="8">
        <f>VLOOKUP(AC64,moves!A:D,4,FALSE)</f>
        <v>2</v>
      </c>
      <c r="AF64" s="8" t="str">
        <f>VLOOKUP(AC64,moves!A:E,5,FALSE)</f>
        <v>The user may switch out. Heal all status effects from the user and from all Pokémon in your party.</v>
      </c>
      <c r="AG64" s="6">
        <v>0</v>
      </c>
      <c r="AH64" s="6">
        <v>0</v>
      </c>
      <c r="AI64" s="8" t="str" cm="1">
        <f t="array" ref="AI64">_xlfn.IFS(AG64=1, "starter", AH64=1, "legendary",T64&lt; 13, "weak",T64&lt; 17, "moderate", TRUE, "strong")</f>
        <v>moderate</v>
      </c>
      <c r="AK64">
        <v>2</v>
      </c>
      <c r="AL64" s="8">
        <v>0</v>
      </c>
      <c r="AM64" s="8">
        <v>0</v>
      </c>
    </row>
    <row r="65" spans="1:39" x14ac:dyDescent="0.25">
      <c r="A65" s="9">
        <v>434</v>
      </c>
      <c r="B65" s="2" t="s">
        <v>188</v>
      </c>
      <c r="C65" s="3" t="s">
        <v>3</v>
      </c>
      <c r="D65" s="3" t="s">
        <v>9</v>
      </c>
      <c r="E65" s="1">
        <v>63</v>
      </c>
      <c r="F65" s="1">
        <v>63</v>
      </c>
      <c r="G65" s="1">
        <v>47</v>
      </c>
      <c r="H65" s="1">
        <v>41</v>
      </c>
      <c r="I65" s="1">
        <v>41</v>
      </c>
      <c r="J65" s="1">
        <v>74</v>
      </c>
      <c r="K65" s="1" t="s">
        <v>362</v>
      </c>
      <c r="L65" s="2" t="s">
        <v>301</v>
      </c>
      <c r="M65" s="2" t="s">
        <v>302</v>
      </c>
      <c r="N65" s="9">
        <f t="shared" si="3"/>
        <v>6.5200000000000005</v>
      </c>
      <c r="O65" s="9">
        <f t="shared" si="4"/>
        <v>5.16</v>
      </c>
      <c r="P65" s="9">
        <v>0</v>
      </c>
      <c r="Q65" s="9">
        <v>0</v>
      </c>
      <c r="R65" s="12">
        <f t="shared" si="5"/>
        <v>7</v>
      </c>
      <c r="S65" s="12">
        <f t="shared" si="6"/>
        <v>5</v>
      </c>
      <c r="T65" s="12">
        <f t="shared" si="7"/>
        <v>12</v>
      </c>
      <c r="U65" s="1" t="str">
        <f t="shared" si="0"/>
        <v>poison</v>
      </c>
      <c r="V65" s="1" t="str">
        <f>IF(D65 = 0, "", D65)</f>
        <v>dark</v>
      </c>
      <c r="W65" s="1" t="s">
        <v>4</v>
      </c>
      <c r="X65" s="1" t="s">
        <v>8</v>
      </c>
      <c r="Y65" s="1" t="str">
        <f>B66</f>
        <v>Skuntank</v>
      </c>
      <c r="Z65" s="12">
        <f t="shared" si="1"/>
        <v>6</v>
      </c>
      <c r="AA65" t="str">
        <f t="shared" si="61"/>
        <v>Stunky</v>
      </c>
      <c r="AB65" s="2"/>
      <c r="AC65" t="s">
        <v>530</v>
      </c>
      <c r="AD65" s="8" t="str">
        <f>VLOOKUP(AC65,moves!A:B,2,FALSE)</f>
        <v>dark</v>
      </c>
      <c r="AE65" s="8">
        <f>VLOOKUP(AC65,moves!A:D,4,FALSE)</f>
        <v>3</v>
      </c>
      <c r="AF65" s="8" t="str">
        <f>VLOOKUP(AC65,moves!A:E,5,FALSE)</f>
        <v>When the target is next attacked, add a regular hit to the roll.</v>
      </c>
      <c r="AG65" s="6">
        <v>0</v>
      </c>
      <c r="AH65" s="6">
        <v>0</v>
      </c>
      <c r="AI65" s="8" t="str" cm="1">
        <f t="array" ref="AI65">_xlfn.IFS(AG65=1, "starter", AH65=1, "legendary",T65&lt; 13, "weak",T65&lt; 17, "moderate", TRUE, "strong")</f>
        <v>weak</v>
      </c>
      <c r="AK65">
        <v>1</v>
      </c>
      <c r="AL65" s="8">
        <v>0</v>
      </c>
      <c r="AM65" s="8">
        <v>0</v>
      </c>
    </row>
    <row r="66" spans="1:39" x14ac:dyDescent="0.25">
      <c r="A66" s="9">
        <v>435</v>
      </c>
      <c r="B66" s="2" t="s">
        <v>189</v>
      </c>
      <c r="C66" s="3" t="s">
        <v>3</v>
      </c>
      <c r="D66" s="3" t="s">
        <v>9</v>
      </c>
      <c r="E66" s="1">
        <v>103</v>
      </c>
      <c r="F66" s="1">
        <v>93</v>
      </c>
      <c r="G66" s="1">
        <v>67</v>
      </c>
      <c r="H66" s="1">
        <v>71</v>
      </c>
      <c r="I66" s="1">
        <v>61</v>
      </c>
      <c r="J66" s="1">
        <v>84</v>
      </c>
      <c r="K66" s="1" t="s">
        <v>362</v>
      </c>
      <c r="L66" s="2" t="s">
        <v>301</v>
      </c>
      <c r="M66" s="2" t="s">
        <v>302</v>
      </c>
      <c r="N66" s="9">
        <f t="shared" si="3"/>
        <v>8.7199999999999989</v>
      </c>
      <c r="O66" s="9">
        <f t="shared" si="4"/>
        <v>7.9599999999999991</v>
      </c>
      <c r="P66" s="9">
        <v>0</v>
      </c>
      <c r="Q66" s="9">
        <v>0</v>
      </c>
      <c r="R66" s="12">
        <f t="shared" si="5"/>
        <v>9</v>
      </c>
      <c r="S66" s="12">
        <f t="shared" si="6"/>
        <v>8</v>
      </c>
      <c r="T66" s="12">
        <f t="shared" si="7"/>
        <v>17</v>
      </c>
      <c r="U66" s="1" t="str">
        <f t="shared" si="0"/>
        <v>poison</v>
      </c>
      <c r="V66" s="1" t="str">
        <f>IF(D66 = 0, "", D66)</f>
        <v>dark</v>
      </c>
      <c r="W66" s="1" t="s">
        <v>4</v>
      </c>
      <c r="X66" s="1" t="s">
        <v>8</v>
      </c>
      <c r="Z66" s="12" t="str">
        <f t="shared" si="1"/>
        <v/>
      </c>
      <c r="AA66" t="str">
        <f t="shared" si="61"/>
        <v>Skuntank</v>
      </c>
      <c r="AB66" s="2"/>
      <c r="AC66" t="s">
        <v>939</v>
      </c>
      <c r="AD66" s="8" t="str">
        <f>VLOOKUP(AC66,moves!A:B,2,FALSE)</f>
        <v>poison</v>
      </c>
      <c r="AE66" s="8">
        <f>VLOOKUP(AC66,moves!A:D,4,FALSE)</f>
        <v>6</v>
      </c>
      <c r="AF66" s="8" t="str">
        <f>VLOOKUP(AC66,moves!A:E,5,FALSE)</f>
        <v>Consume an Apricorn from the bag of user. The user decides which one.</v>
      </c>
      <c r="AG66" s="6">
        <v>0</v>
      </c>
      <c r="AH66" s="6">
        <v>0</v>
      </c>
      <c r="AI66" s="8" t="str" cm="1">
        <f t="array" ref="AI66">_xlfn.IFS(AG66=1, "starter", AH66=1, "legendary",T66&lt; 13, "weak",T66&lt; 17, "moderate", TRUE, "strong")</f>
        <v>strong</v>
      </c>
      <c r="AK66">
        <v>2</v>
      </c>
      <c r="AL66" s="8">
        <v>0</v>
      </c>
      <c r="AM66" s="8">
        <v>0</v>
      </c>
    </row>
    <row r="67" spans="1:39" x14ac:dyDescent="0.25">
      <c r="A67" s="9">
        <v>436</v>
      </c>
      <c r="B67" s="2" t="s">
        <v>190</v>
      </c>
      <c r="C67" s="3" t="s">
        <v>39</v>
      </c>
      <c r="D67" s="3" t="s">
        <v>26</v>
      </c>
      <c r="E67" s="1">
        <v>57</v>
      </c>
      <c r="F67" s="1">
        <v>24</v>
      </c>
      <c r="G67" s="1">
        <v>86</v>
      </c>
      <c r="H67" s="1">
        <v>24</v>
      </c>
      <c r="I67" s="1">
        <v>86</v>
      </c>
      <c r="J67" s="1">
        <v>23</v>
      </c>
      <c r="K67" s="1" t="s">
        <v>363</v>
      </c>
      <c r="L67" s="2" t="s">
        <v>304</v>
      </c>
      <c r="M67" s="2" t="s">
        <v>299</v>
      </c>
      <c r="N67" s="9">
        <f t="shared" si="3"/>
        <v>2.3600000000000003</v>
      </c>
      <c r="O67" s="9">
        <f t="shared" si="4"/>
        <v>7.44</v>
      </c>
      <c r="P67" s="9">
        <v>0</v>
      </c>
      <c r="Q67" s="9">
        <v>0</v>
      </c>
      <c r="R67" s="12">
        <f t="shared" si="5"/>
        <v>2</v>
      </c>
      <c r="S67" s="12">
        <f t="shared" si="6"/>
        <v>7</v>
      </c>
      <c r="T67" s="12">
        <f t="shared" si="7"/>
        <v>9</v>
      </c>
      <c r="U67" s="1" t="str">
        <f t="shared" si="0"/>
        <v>steel</v>
      </c>
      <c r="V67" s="1" t="str">
        <f>IF(D67 = 0, "", D67)</f>
        <v>psychic</v>
      </c>
      <c r="W67" s="1" t="s">
        <v>8</v>
      </c>
      <c r="X67" s="1" t="s">
        <v>13</v>
      </c>
      <c r="Y67" s="1" t="str">
        <f>B68</f>
        <v>Bronzong</v>
      </c>
      <c r="Z67" s="12">
        <f t="shared" si="1"/>
        <v>8</v>
      </c>
      <c r="AA67" t="str">
        <f t="shared" si="61"/>
        <v>Bronzor</v>
      </c>
      <c r="AB67" s="2"/>
      <c r="AC67" t="s">
        <v>499</v>
      </c>
      <c r="AD67" s="8" t="str">
        <f>VLOOKUP(AC67,moves!A:B,2,FALSE)</f>
        <v>psychic</v>
      </c>
      <c r="AE67" s="8">
        <f>VLOOKUP(AC67,moves!A:D,4,FALSE)</f>
        <v>2</v>
      </c>
      <c r="AF67" s="8" t="str">
        <f>VLOOKUP(AC67,moves!A:E,5,FALSE)</f>
        <v>Inflict the Confused status on the target.</v>
      </c>
      <c r="AG67" s="6">
        <v>0</v>
      </c>
      <c r="AH67" s="6">
        <v>0</v>
      </c>
      <c r="AI67" s="8" t="str" cm="1">
        <f t="array" ref="AI67">_xlfn.IFS(AG67=1, "starter", AH67=1, "legendary",T67&lt; 13, "weak",T67&lt; 17, "moderate", TRUE, "strong")</f>
        <v>weak</v>
      </c>
      <c r="AK67">
        <v>1</v>
      </c>
      <c r="AL67" s="8">
        <v>0</v>
      </c>
      <c r="AM67" s="8">
        <v>0</v>
      </c>
    </row>
    <row r="68" spans="1:39" x14ac:dyDescent="0.25">
      <c r="A68" s="9">
        <v>437</v>
      </c>
      <c r="B68" s="2" t="s">
        <v>191</v>
      </c>
      <c r="C68" s="3" t="s">
        <v>39</v>
      </c>
      <c r="D68" s="3" t="s">
        <v>26</v>
      </c>
      <c r="E68" s="1">
        <v>67</v>
      </c>
      <c r="F68" s="1">
        <v>89</v>
      </c>
      <c r="G68" s="1">
        <v>116</v>
      </c>
      <c r="H68" s="1">
        <v>79</v>
      </c>
      <c r="I68" s="1">
        <v>116</v>
      </c>
      <c r="J68" s="1">
        <v>33</v>
      </c>
      <c r="K68" s="1" t="s">
        <v>364</v>
      </c>
      <c r="L68" s="2" t="s">
        <v>304</v>
      </c>
      <c r="M68" s="2" t="s">
        <v>299</v>
      </c>
      <c r="N68" s="9">
        <f t="shared" si="3"/>
        <v>6.5600000000000005</v>
      </c>
      <c r="O68" s="9">
        <f t="shared" si="4"/>
        <v>9.6399999999999988</v>
      </c>
      <c r="P68" s="9">
        <v>0</v>
      </c>
      <c r="Q68" s="9">
        <v>0</v>
      </c>
      <c r="R68" s="12">
        <f t="shared" si="5"/>
        <v>7</v>
      </c>
      <c r="S68" s="12">
        <f t="shared" si="6"/>
        <v>10</v>
      </c>
      <c r="T68" s="12">
        <f t="shared" si="7"/>
        <v>17</v>
      </c>
      <c r="U68" s="1" t="str">
        <f t="shared" si="0"/>
        <v>steel</v>
      </c>
      <c r="V68" s="1" t="str">
        <f>IF(D68 = 0, "", D68)</f>
        <v>psychic</v>
      </c>
      <c r="W68" s="1" t="s">
        <v>8</v>
      </c>
      <c r="X68" s="1" t="s">
        <v>13</v>
      </c>
      <c r="Z68" s="12" t="str">
        <f t="shared" si="1"/>
        <v/>
      </c>
      <c r="AA68" t="str">
        <f t="shared" si="61"/>
        <v>Bronzong</v>
      </c>
      <c r="AB68" s="2"/>
      <c r="AC68" t="s">
        <v>566</v>
      </c>
      <c r="AD68" s="8" t="str">
        <f>VLOOKUP(AC68,moves!A:B,2,FALSE)</f>
        <v>steel</v>
      </c>
      <c r="AE68" s="8" t="str">
        <f>VLOOKUP(AC68,moves!A:D,4,FALSE)</f>
        <v>?</v>
      </c>
      <c r="AF68" s="8" t="str">
        <f>VLOOKUP(AC68,moves!A:E,5,FALSE)</f>
        <v>Attack strength is equal to half the base health of the user, rounded down. Maximum 5 attack strength.</v>
      </c>
      <c r="AG68" s="6">
        <v>0</v>
      </c>
      <c r="AH68" s="6">
        <v>0</v>
      </c>
      <c r="AI68" s="8" t="str" cm="1">
        <f t="array" ref="AI68">_xlfn.IFS(AG68=1, "starter", AH68=1, "legendary",T68&lt; 13, "weak",T68&lt; 17, "moderate", TRUE, "strong")</f>
        <v>strong</v>
      </c>
      <c r="AK68">
        <v>2</v>
      </c>
      <c r="AL68" s="8">
        <v>0</v>
      </c>
      <c r="AM68" s="8">
        <v>0</v>
      </c>
    </row>
    <row r="69" spans="1:39" x14ac:dyDescent="0.25">
      <c r="A69" s="9">
        <v>438</v>
      </c>
      <c r="B69" s="2" t="s">
        <v>192</v>
      </c>
      <c r="C69" s="3" t="s">
        <v>33</v>
      </c>
      <c r="E69" s="1">
        <v>50</v>
      </c>
      <c r="F69" s="1">
        <v>80</v>
      </c>
      <c r="G69" s="1">
        <v>95</v>
      </c>
      <c r="H69" s="1">
        <v>10</v>
      </c>
      <c r="I69" s="1">
        <v>45</v>
      </c>
      <c r="J69" s="1">
        <v>10</v>
      </c>
      <c r="K69" s="1" t="s">
        <v>365</v>
      </c>
      <c r="L69" s="2" t="s">
        <v>298</v>
      </c>
      <c r="M69" s="2" t="s">
        <v>302</v>
      </c>
      <c r="N69" s="9">
        <f t="shared" si="3"/>
        <v>4.5</v>
      </c>
      <c r="O69" s="9">
        <f t="shared" si="4"/>
        <v>6.2</v>
      </c>
      <c r="P69" s="9">
        <v>0</v>
      </c>
      <c r="Q69" s="9">
        <v>0</v>
      </c>
      <c r="R69" s="12">
        <f t="shared" si="5"/>
        <v>5</v>
      </c>
      <c r="S69" s="12">
        <f t="shared" si="6"/>
        <v>6</v>
      </c>
      <c r="T69" s="12">
        <f t="shared" si="7"/>
        <v>11</v>
      </c>
      <c r="U69" s="1" t="str">
        <f t="shared" si="0"/>
        <v>rock</v>
      </c>
      <c r="V69" s="1" t="s">
        <v>8</v>
      </c>
      <c r="W69" s="1" t="s">
        <v>22</v>
      </c>
      <c r="X69" s="1" t="s">
        <v>2</v>
      </c>
      <c r="Y69" s="1" t="str">
        <f>B70</f>
        <v>Sudowoodo</v>
      </c>
      <c r="Z69" s="12">
        <f t="shared" si="1"/>
        <v>4</v>
      </c>
      <c r="AA69" t="str">
        <f t="shared" si="61"/>
        <v>Bonsly</v>
      </c>
      <c r="AB69" s="2"/>
      <c r="AC69" t="s">
        <v>522</v>
      </c>
      <c r="AD69" s="8" t="str">
        <f>VLOOKUP(AC69,moves!A:B,2,FALSE)</f>
        <v>typeless</v>
      </c>
      <c r="AE69" s="8" t="str">
        <f>VLOOKUP(AC69,moves!A:D,4,FALSE)</f>
        <v>?</v>
      </c>
      <c r="AF69" s="8" t="str">
        <f>VLOOKUP(AC69,moves!A:E,5,FALSE)</f>
        <v>Select a move from the target and then attack the target with this move.</v>
      </c>
      <c r="AG69" s="6">
        <v>0</v>
      </c>
      <c r="AH69" s="6">
        <v>0</v>
      </c>
      <c r="AI69" s="8" t="str" cm="1">
        <f t="array" ref="AI69">_xlfn.IFS(AG69=1, "starter", AH69=1, "legendary",T69&lt; 13, "weak",T69&lt; 17, "moderate", TRUE, "strong")</f>
        <v>weak</v>
      </c>
      <c r="AK69">
        <v>1</v>
      </c>
      <c r="AL69" s="8">
        <v>0</v>
      </c>
      <c r="AM69" s="8">
        <v>0</v>
      </c>
    </row>
    <row r="70" spans="1:39" x14ac:dyDescent="0.25">
      <c r="A70" s="9">
        <v>185</v>
      </c>
      <c r="B70" s="2" t="s">
        <v>77</v>
      </c>
      <c r="C70" s="3" t="s">
        <v>33</v>
      </c>
      <c r="E70" s="1">
        <v>70</v>
      </c>
      <c r="F70" s="1">
        <v>100</v>
      </c>
      <c r="G70" s="1">
        <v>115</v>
      </c>
      <c r="H70" s="1">
        <v>30</v>
      </c>
      <c r="I70" s="1">
        <v>65</v>
      </c>
      <c r="J70" s="1">
        <v>30</v>
      </c>
      <c r="K70" s="1" t="s">
        <v>366</v>
      </c>
      <c r="L70" s="2" t="s">
        <v>298</v>
      </c>
      <c r="M70" s="2" t="s">
        <v>302</v>
      </c>
      <c r="N70" s="9">
        <f t="shared" si="3"/>
        <v>6.5</v>
      </c>
      <c r="O70" s="9">
        <f t="shared" si="4"/>
        <v>8.1999999999999993</v>
      </c>
      <c r="P70" s="9">
        <v>0</v>
      </c>
      <c r="Q70" s="9">
        <v>0</v>
      </c>
      <c r="R70" s="12">
        <f t="shared" si="5"/>
        <v>7</v>
      </c>
      <c r="S70" s="12">
        <f t="shared" si="6"/>
        <v>8</v>
      </c>
      <c r="T70" s="12">
        <f t="shared" si="7"/>
        <v>15</v>
      </c>
      <c r="U70" s="1" t="str">
        <f t="shared" si="0"/>
        <v>rock</v>
      </c>
      <c r="V70" s="1" t="s">
        <v>8</v>
      </c>
      <c r="W70" s="1" t="s">
        <v>22</v>
      </c>
      <c r="X70" s="1" t="s">
        <v>2</v>
      </c>
      <c r="Z70" s="12" t="str">
        <f t="shared" si="1"/>
        <v/>
      </c>
      <c r="AA70" t="str">
        <f t="shared" si="61"/>
        <v>Sudowoodo</v>
      </c>
      <c r="AB70" s="2"/>
      <c r="AC70" t="s">
        <v>501</v>
      </c>
      <c r="AD70" s="8" t="str">
        <f>VLOOKUP(AC70,moves!A:B,2,FALSE)</f>
        <v>rock</v>
      </c>
      <c r="AE70" s="8">
        <f>VLOOKUP(AC70,moves!A:D,4,FALSE)</f>
        <v>5</v>
      </c>
      <c r="AF70" s="8" t="str">
        <f>VLOOKUP(AC70,moves!A:E,5,FALSE)</f>
        <v>Critical hits deal +1 damage but status symbols deal -1 damage.</v>
      </c>
      <c r="AG70" s="6">
        <v>0</v>
      </c>
      <c r="AH70" s="6">
        <v>0</v>
      </c>
      <c r="AI70" s="8" t="str" cm="1">
        <f t="array" ref="AI70">_xlfn.IFS(AG70=1, "starter", AH70=1, "legendary",T70&lt; 13, "weak",T70&lt; 17, "moderate", TRUE, "strong")</f>
        <v>moderate</v>
      </c>
      <c r="AK70">
        <v>2</v>
      </c>
      <c r="AL70" s="8">
        <v>0</v>
      </c>
      <c r="AM70" s="8">
        <v>0</v>
      </c>
    </row>
    <row r="71" spans="1:39" x14ac:dyDescent="0.25">
      <c r="A71" s="9">
        <v>439</v>
      </c>
      <c r="B71" s="2" t="s">
        <v>193</v>
      </c>
      <c r="C71" s="3" t="s">
        <v>26</v>
      </c>
      <c r="D71" s="3" t="s">
        <v>16</v>
      </c>
      <c r="E71" s="1">
        <v>20</v>
      </c>
      <c r="F71" s="1">
        <v>25</v>
      </c>
      <c r="G71" s="1">
        <v>45</v>
      </c>
      <c r="H71" s="1">
        <v>70</v>
      </c>
      <c r="I71" s="1">
        <v>90</v>
      </c>
      <c r="J71" s="1">
        <v>60</v>
      </c>
      <c r="K71" s="1" t="s">
        <v>367</v>
      </c>
      <c r="L71" s="2" t="s">
        <v>301</v>
      </c>
      <c r="M71" s="2" t="s">
        <v>299</v>
      </c>
      <c r="N71" s="9">
        <f t="shared" si="3"/>
        <v>6.15</v>
      </c>
      <c r="O71" s="9">
        <f t="shared" si="4"/>
        <v>4.8499999999999996</v>
      </c>
      <c r="P71" s="9">
        <v>0</v>
      </c>
      <c r="Q71" s="9">
        <v>0</v>
      </c>
      <c r="R71" s="12">
        <f t="shared" si="5"/>
        <v>6</v>
      </c>
      <c r="S71" s="12">
        <f t="shared" si="6"/>
        <v>5</v>
      </c>
      <c r="T71" s="12">
        <f t="shared" si="7"/>
        <v>11</v>
      </c>
      <c r="U71" s="1" t="str">
        <f t="shared" si="0"/>
        <v>psychic</v>
      </c>
      <c r="V71" s="1" t="str">
        <f>IF(D71 = 0, "", D71)</f>
        <v>fairy</v>
      </c>
      <c r="W71" s="1" t="s">
        <v>8</v>
      </c>
      <c r="X71" s="1" t="s">
        <v>14</v>
      </c>
      <c r="Y71" s="1" t="str">
        <f>B72</f>
        <v>Mr. Mime</v>
      </c>
      <c r="Z71" s="12">
        <f t="shared" si="1"/>
        <v>6</v>
      </c>
      <c r="AA71" t="str">
        <f t="shared" si="61"/>
        <v>Mime Jr.</v>
      </c>
      <c r="AB71" s="2"/>
      <c r="AC71" t="s">
        <v>522</v>
      </c>
      <c r="AD71" s="8" t="str">
        <f>VLOOKUP(AC71,moves!A:B,2,FALSE)</f>
        <v>typeless</v>
      </c>
      <c r="AE71" s="8" t="str">
        <f>VLOOKUP(AC71,moves!A:D,4,FALSE)</f>
        <v>?</v>
      </c>
      <c r="AF71" s="8" t="str">
        <f>VLOOKUP(AC71,moves!A:E,5,FALSE)</f>
        <v>Select a move from the target and then attack the target with this move.</v>
      </c>
      <c r="AG71" s="6">
        <v>0</v>
      </c>
      <c r="AH71" s="6">
        <v>0</v>
      </c>
      <c r="AI71" s="8" t="str" cm="1">
        <f t="array" ref="AI71">_xlfn.IFS(AG71=1, "starter", AH71=1, "legendary",T71&lt; 13, "weak",T71&lt; 17, "moderate", TRUE, "strong")</f>
        <v>weak</v>
      </c>
      <c r="AK71">
        <v>1</v>
      </c>
      <c r="AL71" s="8">
        <v>0</v>
      </c>
      <c r="AM71" s="8">
        <v>0</v>
      </c>
    </row>
    <row r="72" spans="1:39" x14ac:dyDescent="0.25">
      <c r="A72" s="9">
        <v>122</v>
      </c>
      <c r="B72" s="2" t="s">
        <v>53</v>
      </c>
      <c r="C72" s="3" t="s">
        <v>26</v>
      </c>
      <c r="D72" s="3" t="s">
        <v>16</v>
      </c>
      <c r="E72" s="1">
        <v>40</v>
      </c>
      <c r="F72" s="1">
        <v>45</v>
      </c>
      <c r="G72" s="1">
        <v>65</v>
      </c>
      <c r="H72" s="1">
        <v>100</v>
      </c>
      <c r="I72" s="1">
        <v>120</v>
      </c>
      <c r="J72" s="1">
        <v>90</v>
      </c>
      <c r="K72" s="1" t="s">
        <v>368</v>
      </c>
      <c r="L72" s="2" t="s">
        <v>301</v>
      </c>
      <c r="M72" s="2" t="s">
        <v>299</v>
      </c>
      <c r="N72" s="9">
        <f t="shared" si="3"/>
        <v>9.0500000000000007</v>
      </c>
      <c r="O72" s="9">
        <f t="shared" si="4"/>
        <v>7.15</v>
      </c>
      <c r="P72" s="9">
        <v>0</v>
      </c>
      <c r="Q72" s="9">
        <v>0</v>
      </c>
      <c r="R72" s="12">
        <f t="shared" si="5"/>
        <v>9</v>
      </c>
      <c r="S72" s="12">
        <f t="shared" si="6"/>
        <v>7</v>
      </c>
      <c r="T72" s="12">
        <f t="shared" si="7"/>
        <v>16</v>
      </c>
      <c r="U72" s="1" t="str">
        <f t="shared" si="0"/>
        <v>psychic</v>
      </c>
      <c r="V72" s="1" t="str">
        <f>IF(D72 = 0, "", D72)</f>
        <v>fairy</v>
      </c>
      <c r="W72" s="1" t="s">
        <v>8</v>
      </c>
      <c r="X72" s="1" t="s">
        <v>14</v>
      </c>
      <c r="Z72" s="12" t="str">
        <f t="shared" si="1"/>
        <v/>
      </c>
      <c r="AA72" t="str">
        <f t="shared" si="61"/>
        <v>Mr. Mime</v>
      </c>
      <c r="AB72" s="2"/>
      <c r="AC72" t="s">
        <v>932</v>
      </c>
      <c r="AD72" s="8" t="str">
        <f>VLOOKUP(AC72,moves!A:B,2,FALSE)</f>
        <v>psychic</v>
      </c>
      <c r="AE72" s="8">
        <f>VLOOKUP(AC72,moves!A:D,4,FALSE)</f>
        <v>3</v>
      </c>
      <c r="AF72" s="8" t="str">
        <f>VLOOKUP(AC72,moves!A:E,5,FALSE)</f>
        <v>When the user is next attacked, reflect a regular hit and any status effects back to the attacker.</v>
      </c>
      <c r="AG72" s="6">
        <v>0</v>
      </c>
      <c r="AH72" s="6">
        <v>0</v>
      </c>
      <c r="AI72" s="8" t="str" cm="1">
        <f t="array" ref="AI72">_xlfn.IFS(AG72=1, "starter", AH72=1, "legendary",T72&lt; 13, "weak",T72&lt; 17, "moderate", TRUE, "strong")</f>
        <v>moderate</v>
      </c>
      <c r="AK72">
        <v>2</v>
      </c>
      <c r="AL72" s="8">
        <v>0</v>
      </c>
      <c r="AM72" s="8">
        <v>0</v>
      </c>
    </row>
    <row r="73" spans="1:39" x14ac:dyDescent="0.25">
      <c r="A73" s="9">
        <v>440</v>
      </c>
      <c r="B73" s="2" t="s">
        <v>194</v>
      </c>
      <c r="C73" s="3" t="s">
        <v>8</v>
      </c>
      <c r="E73" s="1">
        <v>100</v>
      </c>
      <c r="F73" s="1">
        <v>5</v>
      </c>
      <c r="G73" s="1">
        <v>5</v>
      </c>
      <c r="H73" s="1">
        <v>15</v>
      </c>
      <c r="I73" s="1">
        <v>65</v>
      </c>
      <c r="J73" s="1">
        <v>30</v>
      </c>
      <c r="K73" s="1" t="s">
        <v>369</v>
      </c>
      <c r="L73" s="2" t="s">
        <v>298</v>
      </c>
      <c r="M73" s="2" t="s">
        <v>302</v>
      </c>
      <c r="N73" s="9">
        <f t="shared" si="3"/>
        <v>2</v>
      </c>
      <c r="O73" s="9">
        <f t="shared" si="4"/>
        <v>6.1</v>
      </c>
      <c r="P73" s="9">
        <v>0</v>
      </c>
      <c r="Q73" s="9">
        <v>0</v>
      </c>
      <c r="R73" s="12">
        <f t="shared" si="5"/>
        <v>2</v>
      </c>
      <c r="S73" s="12">
        <f t="shared" si="6"/>
        <v>6</v>
      </c>
      <c r="T73" s="12">
        <f t="shared" si="7"/>
        <v>8</v>
      </c>
      <c r="U73" s="1" t="str">
        <f t="shared" si="0"/>
        <v>normal</v>
      </c>
      <c r="V73" s="1" t="s">
        <v>16</v>
      </c>
      <c r="W73" s="1" t="s">
        <v>3</v>
      </c>
      <c r="X73" s="1" t="s">
        <v>26</v>
      </c>
      <c r="Y73" s="1" t="str">
        <f>B74</f>
        <v>Chansey</v>
      </c>
      <c r="Z73" s="12">
        <f t="shared" si="1"/>
        <v>6</v>
      </c>
      <c r="AA73" t="str">
        <f t="shared" si="61"/>
        <v>Happiny</v>
      </c>
      <c r="AB73" s="2"/>
      <c r="AC73" t="s">
        <v>941</v>
      </c>
      <c r="AD73" s="8" t="str">
        <f>VLOOKUP(AC73,moves!A:B,2,FALSE)</f>
        <v>fairy</v>
      </c>
      <c r="AE73" s="8">
        <f>VLOOKUP(AC73,moves!A:D,4,FALSE)</f>
        <v>1</v>
      </c>
      <c r="AF73" s="8" t="str">
        <f>VLOOKUP(AC73,moves!A:E,5,FALSE)</f>
        <v>Inflict the Confused status on the target. If the target is already Confused, attack strength is increased to 3.</v>
      </c>
      <c r="AG73" s="6">
        <v>0</v>
      </c>
      <c r="AH73" s="6">
        <v>0</v>
      </c>
      <c r="AI73" s="8" t="str" cm="1">
        <f t="array" ref="AI73">_xlfn.IFS(AG73=1, "starter", AH73=1, "legendary",T73&lt; 13, "weak",T73&lt; 17, "moderate", TRUE, "strong")</f>
        <v>weak</v>
      </c>
      <c r="AK73">
        <v>1</v>
      </c>
      <c r="AL73" s="8">
        <v>0</v>
      </c>
      <c r="AM73" s="8">
        <v>0</v>
      </c>
    </row>
    <row r="74" spans="1:39" x14ac:dyDescent="0.25">
      <c r="A74" s="9">
        <v>113</v>
      </c>
      <c r="B74" s="2" t="s">
        <v>51</v>
      </c>
      <c r="C74" s="3" t="s">
        <v>8</v>
      </c>
      <c r="E74" s="1">
        <v>250</v>
      </c>
      <c r="F74" s="1">
        <v>5</v>
      </c>
      <c r="G74" s="1">
        <v>5</v>
      </c>
      <c r="H74" s="1">
        <v>35</v>
      </c>
      <c r="I74" s="1">
        <v>105</v>
      </c>
      <c r="J74" s="1">
        <v>50</v>
      </c>
      <c r="K74" s="1" t="s">
        <v>370</v>
      </c>
      <c r="L74" s="2" t="s">
        <v>298</v>
      </c>
      <c r="M74" s="2" t="s">
        <v>302</v>
      </c>
      <c r="N74" s="9">
        <f t="shared" si="3"/>
        <v>3.8</v>
      </c>
      <c r="O74" s="9">
        <f t="shared" si="4"/>
        <v>13.3</v>
      </c>
      <c r="P74" s="9">
        <v>0</v>
      </c>
      <c r="Q74" s="9">
        <v>-2</v>
      </c>
      <c r="R74" s="12">
        <f t="shared" si="5"/>
        <v>4</v>
      </c>
      <c r="S74" s="12">
        <f t="shared" si="6"/>
        <v>11</v>
      </c>
      <c r="T74" s="12">
        <f t="shared" si="7"/>
        <v>15</v>
      </c>
      <c r="U74" s="1" t="str">
        <f t="shared" si="0"/>
        <v>normal</v>
      </c>
      <c r="V74" s="1" t="s">
        <v>16</v>
      </c>
      <c r="W74" s="1" t="s">
        <v>3</v>
      </c>
      <c r="X74" s="1" t="s">
        <v>26</v>
      </c>
      <c r="Y74" s="1" t="str">
        <f>B75</f>
        <v>Blissey</v>
      </c>
      <c r="Z74" s="12">
        <f t="shared" si="1"/>
        <v>7</v>
      </c>
      <c r="AA74" t="str">
        <f t="shared" si="61"/>
        <v>Chansey</v>
      </c>
      <c r="AB74" s="2"/>
      <c r="AC74" t="s">
        <v>526</v>
      </c>
      <c r="AD74" s="8" t="str">
        <f>VLOOKUP(AC74,moves!A:B,2,FALSE)</f>
        <v>normal</v>
      </c>
      <c r="AE74" s="8">
        <f>VLOOKUP(AC74,moves!A:D,4,FALSE)</f>
        <v>2</v>
      </c>
      <c r="AF74" s="8" t="str">
        <f>VLOOKUP(AC74,moves!A:E,5,FALSE)</f>
        <v>The user heals 3 damage.</v>
      </c>
      <c r="AG74" s="6">
        <v>0</v>
      </c>
      <c r="AH74" s="6">
        <v>0</v>
      </c>
      <c r="AI74" s="8" t="str" cm="1">
        <f t="array" ref="AI74">_xlfn.IFS(AG74=1, "starter", AH74=1, "legendary",T74&lt; 13, "weak",T74&lt; 17, "moderate", TRUE, "strong")</f>
        <v>moderate</v>
      </c>
      <c r="AK74">
        <v>2</v>
      </c>
      <c r="AL74" s="8">
        <v>0</v>
      </c>
      <c r="AM74" s="8">
        <v>0</v>
      </c>
    </row>
    <row r="75" spans="1:39" x14ac:dyDescent="0.25">
      <c r="A75" s="9">
        <v>242</v>
      </c>
      <c r="B75" s="2" t="s">
        <v>106</v>
      </c>
      <c r="C75" s="3" t="s">
        <v>8</v>
      </c>
      <c r="E75" s="1">
        <v>255</v>
      </c>
      <c r="F75" s="1">
        <v>10</v>
      </c>
      <c r="G75" s="1">
        <v>10</v>
      </c>
      <c r="H75" s="1">
        <v>75</v>
      </c>
      <c r="I75" s="1">
        <v>135</v>
      </c>
      <c r="J75" s="1">
        <v>55</v>
      </c>
      <c r="K75" s="1" t="s">
        <v>371</v>
      </c>
      <c r="L75" s="2" t="s">
        <v>298</v>
      </c>
      <c r="M75" s="2" t="s">
        <v>302</v>
      </c>
      <c r="N75" s="9">
        <f t="shared" si="3"/>
        <v>6.05</v>
      </c>
      <c r="O75" s="9">
        <f t="shared" si="4"/>
        <v>14.55</v>
      </c>
      <c r="P75" s="9">
        <v>0</v>
      </c>
      <c r="Q75" s="9">
        <v>-2</v>
      </c>
      <c r="R75" s="12">
        <f t="shared" si="5"/>
        <v>6</v>
      </c>
      <c r="S75" s="12">
        <f t="shared" si="6"/>
        <v>13</v>
      </c>
      <c r="T75" s="12">
        <f t="shared" si="7"/>
        <v>19</v>
      </c>
      <c r="U75" s="1" t="str">
        <f t="shared" ref="U75:U140" si="62">C75</f>
        <v>normal</v>
      </c>
      <c r="V75" s="1" t="s">
        <v>16</v>
      </c>
      <c r="W75" s="1" t="s">
        <v>3</v>
      </c>
      <c r="X75" s="1" t="s">
        <v>26</v>
      </c>
      <c r="Z75" s="12" t="str">
        <f t="shared" ref="Z75:Z140" si="63">IF(ISBLANK(Y75), "", ROUND(( (T76-6)*(T76-7) - (T75-6)*(T75-7) )/15, 0) + 1)</f>
        <v/>
      </c>
      <c r="AA75" t="str">
        <f t="shared" si="61"/>
        <v>Blissey</v>
      </c>
      <c r="AB75" s="2"/>
      <c r="AC75" t="s">
        <v>593</v>
      </c>
      <c r="AD75" s="8" t="str">
        <f>VLOOKUP(AC75,moves!A:B,2,FALSE)</f>
        <v>normal</v>
      </c>
      <c r="AE75" s="8">
        <f>VLOOKUP(AC75,moves!A:D,4,FALSE)</f>
        <v>5</v>
      </c>
      <c r="AF75" s="8" t="str">
        <f>VLOOKUP(AC75,moves!A:E,5,FALSE)</f>
        <v>Critical hits deal +2 damage but for each critical hit rolled: The user takes 2 damage.</v>
      </c>
      <c r="AG75" s="6">
        <v>0</v>
      </c>
      <c r="AH75" s="6">
        <v>0</v>
      </c>
      <c r="AI75" s="8" t="str" cm="1">
        <f t="array" ref="AI75">_xlfn.IFS(AG75=1, "starter", AH75=1, "legendary",T75&lt; 13, "weak",T75&lt; 17, "moderate", TRUE, "strong")</f>
        <v>strong</v>
      </c>
      <c r="AK75">
        <v>3</v>
      </c>
      <c r="AL75" s="8">
        <v>0</v>
      </c>
      <c r="AM75" s="8">
        <v>0</v>
      </c>
    </row>
    <row r="76" spans="1:39" x14ac:dyDescent="0.25">
      <c r="A76" s="9">
        <v>441</v>
      </c>
      <c r="B76" s="2" t="s">
        <v>195</v>
      </c>
      <c r="C76" s="3" t="s">
        <v>8</v>
      </c>
      <c r="D76" s="3" t="s">
        <v>5</v>
      </c>
      <c r="E76" s="1">
        <v>76</v>
      </c>
      <c r="F76" s="1">
        <v>65</v>
      </c>
      <c r="G76" s="1">
        <v>45</v>
      </c>
      <c r="H76" s="1">
        <v>92</v>
      </c>
      <c r="I76" s="1">
        <v>42</v>
      </c>
      <c r="J76" s="1">
        <v>91</v>
      </c>
      <c r="K76" s="1" t="s">
        <v>372</v>
      </c>
      <c r="L76" s="2" t="s">
        <v>301</v>
      </c>
      <c r="M76" s="2" t="s">
        <v>302</v>
      </c>
      <c r="N76" s="9">
        <f t="shared" ref="N76:N141" si="64">(0.4*J76 + 0.5*MAX(F76,H76) + 0.1*MIN(F76,H76)) / 10</f>
        <v>8.89</v>
      </c>
      <c r="O76" s="9">
        <f t="shared" ref="O76:O141" si="65">(0.4*E76 + 0.3*G76 + 0.3*I76) / 10</f>
        <v>5.65</v>
      </c>
      <c r="P76" s="9">
        <v>0</v>
      </c>
      <c r="Q76" s="9">
        <v>0</v>
      </c>
      <c r="R76" s="12">
        <f t="shared" ref="R76:R141" si="66">ROUND(N76,0)+P76</f>
        <v>9</v>
      </c>
      <c r="S76" s="12">
        <f t="shared" ref="S76:S141" si="67">ROUND(O76,0)+Q76</f>
        <v>6</v>
      </c>
      <c r="T76" s="12">
        <f t="shared" ref="T76:T141" si="68">SUM(ROUND(R76,0),ROUND(S76,0))</f>
        <v>15</v>
      </c>
      <c r="U76" s="1" t="str">
        <f t="shared" si="62"/>
        <v>normal</v>
      </c>
      <c r="V76" s="1" t="str">
        <f>IF(D76 = 0, "", D76)</f>
        <v>flying</v>
      </c>
      <c r="W76" s="1" t="s">
        <v>4</v>
      </c>
      <c r="X76" s="1" t="s">
        <v>7</v>
      </c>
      <c r="Z76" s="12" t="str">
        <f t="shared" si="63"/>
        <v/>
      </c>
      <c r="AA76" t="str">
        <f t="shared" si="61"/>
        <v>Chatot</v>
      </c>
      <c r="AB76" s="2"/>
      <c r="AC76" t="s">
        <v>527</v>
      </c>
      <c r="AD76" s="8" t="str">
        <f>VLOOKUP(AC76,moves!A:B,2,FALSE)</f>
        <v>flying</v>
      </c>
      <c r="AE76" s="8">
        <f>VLOOKUP(AC76,moves!A:D,4,FALSE)</f>
        <v>3</v>
      </c>
      <c r="AF76" s="8" t="str">
        <f>VLOOKUP(AC76,moves!A:E,5,FALSE)</f>
        <v>Inflict the Confused status on the target. If the target is already Confused, attack strength is increased to 5.</v>
      </c>
      <c r="AG76" s="6">
        <v>0</v>
      </c>
      <c r="AH76" s="6">
        <v>0</v>
      </c>
      <c r="AI76" s="8" t="str" cm="1">
        <f t="array" ref="AI76">_xlfn.IFS(AG76=1, "starter", AH76=1, "legendary",T76&lt; 13, "weak",T76&lt; 17, "moderate", TRUE, "strong")</f>
        <v>moderate</v>
      </c>
      <c r="AK76">
        <v>1</v>
      </c>
      <c r="AL76" s="8">
        <v>0</v>
      </c>
      <c r="AM76" s="8">
        <v>0</v>
      </c>
    </row>
    <row r="77" spans="1:39" x14ac:dyDescent="0.25">
      <c r="A77" s="9">
        <v>442</v>
      </c>
      <c r="B77" s="2" t="s">
        <v>196</v>
      </c>
      <c r="C77" s="3" t="s">
        <v>42</v>
      </c>
      <c r="D77" s="3" t="s">
        <v>9</v>
      </c>
      <c r="E77" s="1">
        <v>50</v>
      </c>
      <c r="F77" s="1">
        <v>92</v>
      </c>
      <c r="G77" s="1">
        <v>108</v>
      </c>
      <c r="H77" s="1">
        <v>92</v>
      </c>
      <c r="I77" s="1">
        <v>108</v>
      </c>
      <c r="J77" s="1">
        <v>35</v>
      </c>
      <c r="K77" s="1" t="s">
        <v>373</v>
      </c>
      <c r="L77" s="2" t="s">
        <v>301</v>
      </c>
      <c r="M77" s="2" t="s">
        <v>300</v>
      </c>
      <c r="N77" s="9">
        <f t="shared" si="64"/>
        <v>6.92</v>
      </c>
      <c r="O77" s="9">
        <f t="shared" si="65"/>
        <v>8.48</v>
      </c>
      <c r="P77" s="9">
        <v>1</v>
      </c>
      <c r="Q77" s="9">
        <v>4</v>
      </c>
      <c r="R77" s="12">
        <f t="shared" si="66"/>
        <v>8</v>
      </c>
      <c r="S77" s="12">
        <f t="shared" si="67"/>
        <v>12</v>
      </c>
      <c r="T77" s="12">
        <f t="shared" si="68"/>
        <v>20</v>
      </c>
      <c r="U77" s="1" t="str">
        <f t="shared" si="62"/>
        <v>ghost</v>
      </c>
      <c r="V77" s="1" t="str">
        <f>IF(D77 = 0, "", D77)</f>
        <v>dark</v>
      </c>
      <c r="W77" s="1" t="s">
        <v>4</v>
      </c>
      <c r="X77" s="1" t="s">
        <v>26</v>
      </c>
      <c r="Z77" s="12" t="str">
        <f t="shared" si="63"/>
        <v/>
      </c>
      <c r="AA77" t="str">
        <f t="shared" si="61"/>
        <v>Spiritomb</v>
      </c>
      <c r="AB77" s="2"/>
      <c r="AC77" t="s">
        <v>619</v>
      </c>
      <c r="AD77" s="8" t="str">
        <f>VLOOKUP(AC77,moves!A:B,2,FALSE)</f>
        <v>dark</v>
      </c>
      <c r="AE77" s="8">
        <f>VLOOKUP(AC77,moves!A:D,4,FALSE)</f>
        <v>3</v>
      </c>
      <c r="AF77" s="8" t="str">
        <f>VLOOKUP(AC77,moves!A:E,5,FALSE)</f>
        <v>Increase the battle fatigue of the target to 5.</v>
      </c>
      <c r="AG77" s="6">
        <v>0</v>
      </c>
      <c r="AH77" s="6">
        <v>1</v>
      </c>
      <c r="AI77" s="8" t="str" cm="1">
        <f t="array" ref="AI77">_xlfn.IFS(AG77=1, "starter", AH77=1, "legendary",T77&lt; 13, "weak",T77&lt; 17, "moderate", TRUE, "strong")</f>
        <v>legendary</v>
      </c>
      <c r="AK77">
        <v>1</v>
      </c>
      <c r="AL77" s="8">
        <v>0</v>
      </c>
      <c r="AM77" s="8">
        <v>0</v>
      </c>
    </row>
    <row r="78" spans="1:39" x14ac:dyDescent="0.25">
      <c r="A78" s="9">
        <v>443</v>
      </c>
      <c r="B78" s="2" t="s">
        <v>197</v>
      </c>
      <c r="C78" s="3" t="s">
        <v>67</v>
      </c>
      <c r="D78" s="3" t="s">
        <v>13</v>
      </c>
      <c r="E78" s="1">
        <v>58</v>
      </c>
      <c r="F78" s="1">
        <v>70</v>
      </c>
      <c r="G78" s="1">
        <v>45</v>
      </c>
      <c r="H78" s="1">
        <v>40</v>
      </c>
      <c r="I78" s="1">
        <v>45</v>
      </c>
      <c r="J78" s="1">
        <v>42</v>
      </c>
      <c r="K78" s="1" t="s">
        <v>374</v>
      </c>
      <c r="L78" s="2" t="s">
        <v>304</v>
      </c>
      <c r="M78" s="2" t="s">
        <v>300</v>
      </c>
      <c r="N78" s="9">
        <f t="shared" si="64"/>
        <v>5.58</v>
      </c>
      <c r="O78" s="9">
        <f t="shared" si="65"/>
        <v>5.0200000000000005</v>
      </c>
      <c r="P78" s="9">
        <v>0</v>
      </c>
      <c r="Q78" s="9">
        <v>0</v>
      </c>
      <c r="R78" s="12">
        <f t="shared" si="66"/>
        <v>6</v>
      </c>
      <c r="S78" s="12">
        <f t="shared" si="67"/>
        <v>5</v>
      </c>
      <c r="T78" s="12">
        <f t="shared" si="68"/>
        <v>11</v>
      </c>
      <c r="U78" s="1" t="str">
        <f t="shared" si="62"/>
        <v>dragon</v>
      </c>
      <c r="V78" s="1" t="str">
        <f>IF(D78 = 0, "", D78)</f>
        <v>ground</v>
      </c>
      <c r="W78" s="1" t="s">
        <v>9</v>
      </c>
      <c r="X78" s="1" t="s">
        <v>4</v>
      </c>
      <c r="Y78" s="1" t="str">
        <f>B79</f>
        <v>Gabite</v>
      </c>
      <c r="Z78" s="12">
        <f t="shared" si="63"/>
        <v>3</v>
      </c>
      <c r="AA78" t="str">
        <f t="shared" si="61"/>
        <v>Gible</v>
      </c>
      <c r="AB78" s="2"/>
      <c r="AC78" t="s">
        <v>530</v>
      </c>
      <c r="AD78" s="8" t="str">
        <f>VLOOKUP(AC78,moves!A:B,2,FALSE)</f>
        <v>dark</v>
      </c>
      <c r="AE78" s="8">
        <f>VLOOKUP(AC78,moves!A:D,4,FALSE)</f>
        <v>3</v>
      </c>
      <c r="AF78" s="8" t="str">
        <f>VLOOKUP(AC78,moves!A:E,5,FALSE)</f>
        <v>When the target is next attacked, add a regular hit to the roll.</v>
      </c>
      <c r="AG78" s="6">
        <v>0</v>
      </c>
      <c r="AH78" s="6">
        <v>0</v>
      </c>
      <c r="AI78" s="8" t="str" cm="1">
        <f t="array" ref="AI78">_xlfn.IFS(AG78=1, "starter", AH78=1, "legendary",T78&lt; 13, "weak",T78&lt; 17, "moderate", TRUE, "strong")</f>
        <v>weak</v>
      </c>
      <c r="AK78">
        <v>1</v>
      </c>
      <c r="AL78" s="8">
        <v>0</v>
      </c>
      <c r="AM78" s="8">
        <v>0</v>
      </c>
    </row>
    <row r="79" spans="1:39" x14ac:dyDescent="0.25">
      <c r="A79" s="9">
        <v>444</v>
      </c>
      <c r="B79" s="2" t="s">
        <v>198</v>
      </c>
      <c r="C79" s="3" t="s">
        <v>67</v>
      </c>
      <c r="D79" s="3" t="s">
        <v>13</v>
      </c>
      <c r="E79" s="1">
        <v>68</v>
      </c>
      <c r="F79" s="1">
        <v>90</v>
      </c>
      <c r="G79" s="1">
        <v>65</v>
      </c>
      <c r="H79" s="1">
        <v>50</v>
      </c>
      <c r="I79" s="1">
        <v>55</v>
      </c>
      <c r="J79" s="1">
        <v>82</v>
      </c>
      <c r="K79" s="1" t="s">
        <v>375</v>
      </c>
      <c r="L79" s="2" t="s">
        <v>304</v>
      </c>
      <c r="M79" s="2" t="s">
        <v>300</v>
      </c>
      <c r="N79" s="9">
        <f t="shared" si="64"/>
        <v>8.2800000000000011</v>
      </c>
      <c r="O79" s="9">
        <f t="shared" si="65"/>
        <v>6.32</v>
      </c>
      <c r="P79" s="9">
        <v>0</v>
      </c>
      <c r="Q79" s="9">
        <v>0</v>
      </c>
      <c r="R79" s="12">
        <f t="shared" si="66"/>
        <v>8</v>
      </c>
      <c r="S79" s="12">
        <f t="shared" si="67"/>
        <v>6</v>
      </c>
      <c r="T79" s="12">
        <f t="shared" si="68"/>
        <v>14</v>
      </c>
      <c r="U79" s="1" t="str">
        <f t="shared" si="62"/>
        <v>dragon</v>
      </c>
      <c r="V79" s="1" t="str">
        <f>IF(D79 = 0, "", D79)</f>
        <v>ground</v>
      </c>
      <c r="W79" s="1" t="s">
        <v>9</v>
      </c>
      <c r="X79" s="1" t="s">
        <v>4</v>
      </c>
      <c r="Y79" s="1" t="str">
        <f>B80</f>
        <v>Garchomp</v>
      </c>
      <c r="Z79" s="12">
        <f t="shared" si="63"/>
        <v>11</v>
      </c>
      <c r="AA79" t="str">
        <f t="shared" si="61"/>
        <v>Gabite</v>
      </c>
      <c r="AB79" s="2"/>
      <c r="AC79" t="s">
        <v>596</v>
      </c>
      <c r="AD79" s="8" t="str">
        <f>VLOOKUP(AC79,moves!A:B,2,FALSE)</f>
        <v>ground</v>
      </c>
      <c r="AE79" s="8">
        <f>VLOOKUP(AC79,moves!A:D,4,FALSE)</f>
        <v>3</v>
      </c>
      <c r="AF79" s="8" t="str">
        <f>VLOOKUP(AC79,moves!A:E,5,FALSE)</f>
        <v>When the user next attacks, add a status symbol to the roll.</v>
      </c>
      <c r="AG79" s="6">
        <v>0</v>
      </c>
      <c r="AH79" s="6">
        <v>0</v>
      </c>
      <c r="AI79" s="8" t="str" cm="1">
        <f t="array" ref="AI79">_xlfn.IFS(AG79=1, "starter", AH79=1, "legendary",T79&lt; 13, "weak",T79&lt; 17, "moderate", TRUE, "strong")</f>
        <v>moderate</v>
      </c>
      <c r="AK79">
        <v>2</v>
      </c>
      <c r="AL79" s="8">
        <v>0</v>
      </c>
      <c r="AM79" s="8">
        <v>0</v>
      </c>
    </row>
    <row r="80" spans="1:39" x14ac:dyDescent="0.25">
      <c r="A80" s="9">
        <v>445</v>
      </c>
      <c r="B80" s="2" t="s">
        <v>199</v>
      </c>
      <c r="C80" s="3" t="s">
        <v>67</v>
      </c>
      <c r="D80" s="3" t="s">
        <v>13</v>
      </c>
      <c r="E80" s="1">
        <v>108</v>
      </c>
      <c r="F80" s="1">
        <v>130</v>
      </c>
      <c r="G80" s="1">
        <v>95</v>
      </c>
      <c r="H80" s="1">
        <v>80</v>
      </c>
      <c r="I80" s="1">
        <v>85</v>
      </c>
      <c r="J80" s="1">
        <v>102</v>
      </c>
      <c r="K80" s="1" t="s">
        <v>376</v>
      </c>
      <c r="L80" s="2" t="s">
        <v>304</v>
      </c>
      <c r="M80" s="2" t="s">
        <v>300</v>
      </c>
      <c r="N80" s="9">
        <f t="shared" si="64"/>
        <v>11.38</v>
      </c>
      <c r="O80" s="9">
        <f t="shared" si="65"/>
        <v>9.7200000000000006</v>
      </c>
      <c r="P80" s="9">
        <v>0</v>
      </c>
      <c r="Q80" s="9">
        <v>0</v>
      </c>
      <c r="R80" s="12">
        <f t="shared" si="66"/>
        <v>11</v>
      </c>
      <c r="S80" s="12">
        <f t="shared" si="67"/>
        <v>10</v>
      </c>
      <c r="T80" s="12">
        <f t="shared" si="68"/>
        <v>21</v>
      </c>
      <c r="U80" s="1" t="str">
        <f t="shared" si="62"/>
        <v>dragon</v>
      </c>
      <c r="V80" s="1" t="str">
        <f>IF(D80 = 0, "", D80)</f>
        <v>ground</v>
      </c>
      <c r="W80" s="1" t="s">
        <v>9</v>
      </c>
      <c r="X80" s="1" t="s">
        <v>4</v>
      </c>
      <c r="Z80" s="12" t="str">
        <f t="shared" si="63"/>
        <v/>
      </c>
      <c r="AA80" t="str">
        <f t="shared" si="61"/>
        <v>Garchomp</v>
      </c>
      <c r="AB80" s="2"/>
      <c r="AC80" t="s">
        <v>598</v>
      </c>
      <c r="AD80" s="8" t="str">
        <f>VLOOKUP(AC80,moves!A:B,2,FALSE)</f>
        <v>dragon</v>
      </c>
      <c r="AE80" s="8">
        <f>VLOOKUP(AC80,moves!A:D,4,FALSE)</f>
        <v>5</v>
      </c>
      <c r="AF80" s="8" t="str">
        <f>VLOOKUP(AC80,moves!A:E,5,FALSE)</f>
        <v>If 2+ status symbols are rolled: Inflict the Paralysed status on the target.</v>
      </c>
      <c r="AG80" s="6">
        <v>0</v>
      </c>
      <c r="AH80" s="6">
        <v>0</v>
      </c>
      <c r="AI80" s="8" t="str" cm="1">
        <f t="array" ref="AI80">_xlfn.IFS(AG80=1, "starter", AH80=1, "legendary",T80&lt; 13, "weak",T80&lt; 17, "moderate", TRUE, "strong")</f>
        <v>strong</v>
      </c>
      <c r="AK80">
        <v>3</v>
      </c>
      <c r="AL80" s="8">
        <v>0</v>
      </c>
      <c r="AM80" s="8">
        <v>0</v>
      </c>
    </row>
    <row r="81" spans="1:39" x14ac:dyDescent="0.25">
      <c r="A81" s="9">
        <v>446</v>
      </c>
      <c r="B81" s="2" t="s">
        <v>200</v>
      </c>
      <c r="C81" s="3" t="s">
        <v>8</v>
      </c>
      <c r="E81" s="1">
        <v>135</v>
      </c>
      <c r="F81" s="1">
        <v>85</v>
      </c>
      <c r="G81" s="1">
        <v>40</v>
      </c>
      <c r="H81" s="1">
        <v>40</v>
      </c>
      <c r="I81" s="1">
        <v>85</v>
      </c>
      <c r="J81" s="1">
        <v>5</v>
      </c>
      <c r="K81" s="1" t="s">
        <v>377</v>
      </c>
      <c r="L81" s="2" t="s">
        <v>304</v>
      </c>
      <c r="M81" s="2" t="s">
        <v>300</v>
      </c>
      <c r="N81" s="9">
        <f t="shared" si="64"/>
        <v>4.8499999999999996</v>
      </c>
      <c r="O81" s="9">
        <f t="shared" si="65"/>
        <v>9.15</v>
      </c>
      <c r="P81" s="9">
        <v>0</v>
      </c>
      <c r="Q81" s="9">
        <v>0</v>
      </c>
      <c r="R81" s="12">
        <f t="shared" si="66"/>
        <v>5</v>
      </c>
      <c r="S81" s="12">
        <f t="shared" si="67"/>
        <v>9</v>
      </c>
      <c r="T81" s="12">
        <f t="shared" si="68"/>
        <v>14</v>
      </c>
      <c r="U81" s="1" t="str">
        <f t="shared" si="62"/>
        <v>normal</v>
      </c>
      <c r="V81" s="1" t="s">
        <v>39</v>
      </c>
      <c r="W81" s="1" t="s">
        <v>13</v>
      </c>
      <c r="X81" s="1" t="s">
        <v>22</v>
      </c>
      <c r="Y81" s="1" t="str">
        <f>B82</f>
        <v>Snorlax</v>
      </c>
      <c r="Z81" s="12">
        <f t="shared" si="63"/>
        <v>8</v>
      </c>
      <c r="AA81" t="str">
        <f t="shared" si="61"/>
        <v>Munchlax</v>
      </c>
      <c r="AB81" s="2"/>
      <c r="AC81" t="s">
        <v>942</v>
      </c>
      <c r="AD81" s="8" t="str">
        <f>VLOOKUP(AC81,moves!A:B,2,FALSE)</f>
        <v>normal</v>
      </c>
      <c r="AE81" s="8">
        <f>VLOOKUP(AC81,moves!A:D,4,FALSE)</f>
        <v>1</v>
      </c>
      <c r="AF81" s="8" t="str">
        <f>VLOOKUP(AC81,moves!A:E,5,FALSE)</f>
        <v>For every 2 damage taken by the user: Increase attack strength by 1.</v>
      </c>
      <c r="AG81" s="6">
        <v>0</v>
      </c>
      <c r="AH81" s="6">
        <v>0</v>
      </c>
      <c r="AI81" s="8" t="str" cm="1">
        <f t="array" ref="AI81">_xlfn.IFS(AG81=1, "starter", AH81=1, "legendary",T81&lt; 13, "weak",T81&lt; 17, "moderate", TRUE, "strong")</f>
        <v>moderate</v>
      </c>
      <c r="AK81">
        <v>1</v>
      </c>
      <c r="AL81" s="8">
        <v>0</v>
      </c>
      <c r="AM81" s="8">
        <v>0</v>
      </c>
    </row>
    <row r="82" spans="1:39" x14ac:dyDescent="0.25">
      <c r="A82" s="9">
        <v>143</v>
      </c>
      <c r="B82" s="2" t="s">
        <v>62</v>
      </c>
      <c r="C82" s="3" t="s">
        <v>8</v>
      </c>
      <c r="E82" s="1">
        <v>160</v>
      </c>
      <c r="F82" s="1">
        <v>110</v>
      </c>
      <c r="G82" s="1">
        <v>65</v>
      </c>
      <c r="H82" s="1">
        <v>65</v>
      </c>
      <c r="I82" s="1">
        <v>110</v>
      </c>
      <c r="J82" s="1">
        <v>30</v>
      </c>
      <c r="K82" s="1" t="s">
        <v>378</v>
      </c>
      <c r="L82" s="2" t="s">
        <v>304</v>
      </c>
      <c r="M82" s="2" t="s">
        <v>300</v>
      </c>
      <c r="N82" s="9">
        <f t="shared" si="64"/>
        <v>7.35</v>
      </c>
      <c r="O82" s="9">
        <f t="shared" si="65"/>
        <v>11.65</v>
      </c>
      <c r="P82" s="9">
        <v>0</v>
      </c>
      <c r="Q82" s="9">
        <v>0</v>
      </c>
      <c r="R82" s="12">
        <f t="shared" si="66"/>
        <v>7</v>
      </c>
      <c r="S82" s="12">
        <f t="shared" si="67"/>
        <v>12</v>
      </c>
      <c r="T82" s="12">
        <f t="shared" si="68"/>
        <v>19</v>
      </c>
      <c r="U82" s="1" t="str">
        <f t="shared" si="62"/>
        <v>normal</v>
      </c>
      <c r="V82" s="1" t="s">
        <v>39</v>
      </c>
      <c r="W82" s="1" t="s">
        <v>13</v>
      </c>
      <c r="X82" s="1" t="s">
        <v>22</v>
      </c>
      <c r="Z82" s="12" t="str">
        <f t="shared" si="63"/>
        <v/>
      </c>
      <c r="AA82" t="str">
        <f t="shared" si="61"/>
        <v>Snorlax</v>
      </c>
      <c r="AB82" s="2"/>
      <c r="AC82" s="8" t="s">
        <v>529</v>
      </c>
      <c r="AD82" s="8" t="str">
        <f>VLOOKUP(AC82,moves!A:B,2,FALSE)</f>
        <v>normal</v>
      </c>
      <c r="AE82" s="8">
        <f>VLOOKUP(AC82,moves!A:D,4,FALSE)</f>
        <v>4</v>
      </c>
      <c r="AF82" s="8" t="str">
        <f>VLOOKUP(AC82,moves!A:E,5,FALSE)</f>
        <v>If a status symbol is rolled: Inflict the Paralysed status on the target.</v>
      </c>
      <c r="AG82" s="6">
        <v>0</v>
      </c>
      <c r="AH82" s="6">
        <v>0</v>
      </c>
      <c r="AI82" s="8" t="str" cm="1">
        <f t="array" ref="AI82">_xlfn.IFS(AG82=1, "starter", AH82=1, "legendary",T82&lt; 13, "weak",T82&lt; 17, "moderate", TRUE, "strong")</f>
        <v>strong</v>
      </c>
      <c r="AK82">
        <v>2</v>
      </c>
      <c r="AL82" s="8">
        <v>0</v>
      </c>
      <c r="AM82" s="8">
        <v>0</v>
      </c>
    </row>
    <row r="83" spans="1:39" x14ac:dyDescent="0.25">
      <c r="A83" s="9">
        <v>447</v>
      </c>
      <c r="B83" s="2" t="s">
        <v>201</v>
      </c>
      <c r="C83" s="3" t="s">
        <v>22</v>
      </c>
      <c r="E83" s="1">
        <v>40</v>
      </c>
      <c r="F83" s="1">
        <v>70</v>
      </c>
      <c r="G83" s="1">
        <v>40</v>
      </c>
      <c r="H83" s="1">
        <v>35</v>
      </c>
      <c r="I83" s="1">
        <v>40</v>
      </c>
      <c r="J83" s="1">
        <v>60</v>
      </c>
      <c r="K83" s="1" t="s">
        <v>379</v>
      </c>
      <c r="L83" s="2" t="s">
        <v>304</v>
      </c>
      <c r="M83" s="2" t="s">
        <v>299</v>
      </c>
      <c r="N83" s="9">
        <f t="shared" si="64"/>
        <v>6.25</v>
      </c>
      <c r="O83" s="9">
        <f t="shared" si="65"/>
        <v>4</v>
      </c>
      <c r="P83" s="9">
        <v>0</v>
      </c>
      <c r="Q83" s="9">
        <v>0</v>
      </c>
      <c r="R83" s="12">
        <f t="shared" si="66"/>
        <v>6</v>
      </c>
      <c r="S83" s="12">
        <f t="shared" si="67"/>
        <v>4</v>
      </c>
      <c r="T83" s="12">
        <f t="shared" si="68"/>
        <v>10</v>
      </c>
      <c r="U83" s="1" t="str">
        <f t="shared" si="62"/>
        <v>fighting</v>
      </c>
      <c r="V83" s="1" t="s">
        <v>39</v>
      </c>
      <c r="W83" s="1" t="s">
        <v>8</v>
      </c>
      <c r="X83" s="1" t="s">
        <v>26</v>
      </c>
      <c r="Y83" s="1" t="str">
        <f>B84</f>
        <v>Lucario</v>
      </c>
      <c r="Z83" s="12">
        <f t="shared" si="63"/>
        <v>9</v>
      </c>
      <c r="AA83" t="str">
        <f t="shared" si="61"/>
        <v>Riolu</v>
      </c>
      <c r="AB83" s="2"/>
      <c r="AC83" t="s">
        <v>612</v>
      </c>
      <c r="AD83" s="8" t="str">
        <f>VLOOKUP(AC83,moves!A:B,2,FALSE)</f>
        <v>steel</v>
      </c>
      <c r="AE83" s="8">
        <f>VLOOKUP(AC83,moves!A:D,4,FALSE)</f>
        <v>3</v>
      </c>
      <c r="AF83" s="8" t="str">
        <f>VLOOKUP(AC83,moves!A:E,5,FALSE)</f>
        <v>Status symbols deal +1 damage.</v>
      </c>
      <c r="AG83" s="6">
        <v>0</v>
      </c>
      <c r="AH83" s="6">
        <v>0</v>
      </c>
      <c r="AI83" s="8" t="str" cm="1">
        <f t="array" ref="AI83">_xlfn.IFS(AG83=1, "starter", AH83=1, "legendary",T83&lt; 13, "weak",T83&lt; 17, "moderate", TRUE, "strong")</f>
        <v>weak</v>
      </c>
      <c r="AK83">
        <v>1</v>
      </c>
      <c r="AL83" s="8">
        <v>0</v>
      </c>
      <c r="AM83" s="8">
        <v>0</v>
      </c>
    </row>
    <row r="84" spans="1:39" x14ac:dyDescent="0.25">
      <c r="A84" s="9">
        <v>448</v>
      </c>
      <c r="B84" s="2" t="s">
        <v>202</v>
      </c>
      <c r="C84" s="3" t="s">
        <v>22</v>
      </c>
      <c r="D84" s="3" t="s">
        <v>39</v>
      </c>
      <c r="E84" s="1">
        <v>70</v>
      </c>
      <c r="F84" s="1">
        <v>110</v>
      </c>
      <c r="G84" s="1">
        <v>70</v>
      </c>
      <c r="H84" s="1">
        <v>115</v>
      </c>
      <c r="I84" s="1">
        <v>70</v>
      </c>
      <c r="J84" s="1">
        <v>90</v>
      </c>
      <c r="K84" s="1" t="s">
        <v>380</v>
      </c>
      <c r="L84" s="1" t="s">
        <v>304</v>
      </c>
      <c r="M84" s="1" t="s">
        <v>299</v>
      </c>
      <c r="N84" s="9">
        <f t="shared" si="64"/>
        <v>10.45</v>
      </c>
      <c r="O84" s="9">
        <f t="shared" si="65"/>
        <v>7</v>
      </c>
      <c r="P84" s="9">
        <v>1</v>
      </c>
      <c r="Q84" s="9">
        <v>0</v>
      </c>
      <c r="R84" s="12">
        <f t="shared" si="66"/>
        <v>11</v>
      </c>
      <c r="S84" s="12">
        <f t="shared" si="67"/>
        <v>7</v>
      </c>
      <c r="T84" s="12">
        <f t="shared" si="68"/>
        <v>18</v>
      </c>
      <c r="U84" s="1" t="str">
        <f t="shared" si="62"/>
        <v>fighting</v>
      </c>
      <c r="V84" s="1" t="str">
        <f>IF(D84 = 0, "", D84)</f>
        <v>steel</v>
      </c>
      <c r="W84" s="1" t="s">
        <v>8</v>
      </c>
      <c r="X84" s="1" t="s">
        <v>26</v>
      </c>
      <c r="Z84" s="12" t="str">
        <f t="shared" si="63"/>
        <v/>
      </c>
      <c r="AA84" t="str">
        <f t="shared" si="61"/>
        <v>Lucario</v>
      </c>
      <c r="AB84" s="2"/>
      <c r="AC84" t="s">
        <v>494</v>
      </c>
      <c r="AD84" s="8" t="str">
        <f>VLOOKUP(AC84,moves!A:B,2,FALSE)</f>
        <v>fighting</v>
      </c>
      <c r="AE84" s="8">
        <f>VLOOKUP(AC84,moves!A:D,4,FALSE)</f>
        <v>4</v>
      </c>
      <c r="AF84" s="8" t="str">
        <f>VLOOKUP(AC84,moves!A:E,5,FALSE)</f>
        <v>Status symbols deal +1 damage.</v>
      </c>
      <c r="AG84" s="6">
        <v>0</v>
      </c>
      <c r="AH84" s="6">
        <v>0</v>
      </c>
      <c r="AI84" s="8" t="str" cm="1">
        <f t="array" ref="AI84">_xlfn.IFS(AG84=1, "starter", AH84=1, "legendary",T84&lt; 13, "weak",T84&lt; 17, "moderate", TRUE, "strong")</f>
        <v>strong</v>
      </c>
      <c r="AK84">
        <v>2</v>
      </c>
      <c r="AL84" s="8">
        <v>0</v>
      </c>
      <c r="AM84" s="8">
        <v>0</v>
      </c>
    </row>
    <row r="85" spans="1:39" x14ac:dyDescent="0.25">
      <c r="A85" s="9">
        <v>449</v>
      </c>
      <c r="B85" s="2" t="s">
        <v>203</v>
      </c>
      <c r="C85" s="3" t="s">
        <v>13</v>
      </c>
      <c r="E85" s="1">
        <v>68</v>
      </c>
      <c r="F85" s="1">
        <v>72</v>
      </c>
      <c r="G85" s="1">
        <v>78</v>
      </c>
      <c r="H85" s="1">
        <v>38</v>
      </c>
      <c r="I85" s="1">
        <v>42</v>
      </c>
      <c r="J85" s="1">
        <v>32</v>
      </c>
      <c r="K85" s="1" t="s">
        <v>381</v>
      </c>
      <c r="L85" s="1" t="s">
        <v>304</v>
      </c>
      <c r="M85" s="1" t="s">
        <v>302</v>
      </c>
      <c r="N85" s="9">
        <f t="shared" si="64"/>
        <v>5.26</v>
      </c>
      <c r="O85" s="9">
        <f t="shared" si="65"/>
        <v>6.32</v>
      </c>
      <c r="P85" s="9">
        <v>0</v>
      </c>
      <c r="Q85" s="9">
        <v>0</v>
      </c>
      <c r="R85" s="12">
        <f t="shared" si="66"/>
        <v>5</v>
      </c>
      <c r="S85" s="12">
        <f t="shared" si="67"/>
        <v>6</v>
      </c>
      <c r="T85" s="12">
        <f t="shared" si="68"/>
        <v>11</v>
      </c>
      <c r="U85" s="1" t="str">
        <f t="shared" si="62"/>
        <v>ground</v>
      </c>
      <c r="V85" s="3" t="s">
        <v>8</v>
      </c>
      <c r="W85" s="9" t="s">
        <v>9</v>
      </c>
      <c r="X85" s="1" t="s">
        <v>6</v>
      </c>
      <c r="Y85" s="1" t="str">
        <f>B86</f>
        <v>Hippowdon</v>
      </c>
      <c r="Z85" s="12">
        <f t="shared" si="63"/>
        <v>8</v>
      </c>
      <c r="AA85" t="str">
        <f t="shared" si="61"/>
        <v>Hippopotas</v>
      </c>
      <c r="AB85" s="2"/>
      <c r="AC85" t="s">
        <v>528</v>
      </c>
      <c r="AD85" s="8" t="str">
        <f>VLOOKUP(AC85,moves!A:B,2,FALSE)</f>
        <v>ground</v>
      </c>
      <c r="AE85" s="8">
        <f>VLOOKUP(AC85,moves!A:D,4,FALSE)</f>
        <v>2</v>
      </c>
      <c r="AF85" s="8" t="str">
        <f>VLOOKUP(AC85,moves!A:E,5,FALSE)</f>
        <v>The target may no longer switch out or flee the battle.</v>
      </c>
      <c r="AG85" s="6">
        <v>0</v>
      </c>
      <c r="AH85" s="6">
        <v>0</v>
      </c>
      <c r="AI85" s="8" t="str" cm="1">
        <f t="array" ref="AI85">_xlfn.IFS(AG85=1, "starter", AH85=1, "legendary",T85&lt; 13, "weak",T85&lt; 17, "moderate", TRUE, "strong")</f>
        <v>weak</v>
      </c>
      <c r="AK85">
        <v>1</v>
      </c>
      <c r="AL85" s="8">
        <v>0</v>
      </c>
      <c r="AM85" s="8">
        <v>0</v>
      </c>
    </row>
    <row r="86" spans="1:39" x14ac:dyDescent="0.25">
      <c r="A86" s="9">
        <v>450</v>
      </c>
      <c r="B86" s="2" t="s">
        <v>204</v>
      </c>
      <c r="C86" s="3" t="s">
        <v>13</v>
      </c>
      <c r="E86" s="1">
        <v>108</v>
      </c>
      <c r="F86" s="1">
        <v>112</v>
      </c>
      <c r="G86" s="1">
        <v>118</v>
      </c>
      <c r="H86" s="1">
        <v>68</v>
      </c>
      <c r="I86" s="1">
        <v>72</v>
      </c>
      <c r="J86" s="1">
        <v>47</v>
      </c>
      <c r="K86" s="1" t="s">
        <v>382</v>
      </c>
      <c r="L86" s="1" t="s">
        <v>304</v>
      </c>
      <c r="M86" s="1" t="s">
        <v>302</v>
      </c>
      <c r="N86" s="9">
        <f t="shared" si="64"/>
        <v>8.16</v>
      </c>
      <c r="O86" s="9">
        <f t="shared" si="65"/>
        <v>10.02</v>
      </c>
      <c r="P86" s="9">
        <v>0</v>
      </c>
      <c r="Q86" s="9">
        <v>0</v>
      </c>
      <c r="R86" s="12">
        <f t="shared" si="66"/>
        <v>8</v>
      </c>
      <c r="S86" s="12">
        <f t="shared" si="67"/>
        <v>10</v>
      </c>
      <c r="T86" s="12">
        <f t="shared" si="68"/>
        <v>18</v>
      </c>
      <c r="U86" s="1" t="str">
        <f t="shared" si="62"/>
        <v>ground</v>
      </c>
      <c r="V86" s="1" t="s">
        <v>8</v>
      </c>
      <c r="W86" s="9" t="s">
        <v>9</v>
      </c>
      <c r="X86" s="9" t="s">
        <v>6</v>
      </c>
      <c r="Z86" s="12" t="str">
        <f t="shared" si="63"/>
        <v/>
      </c>
      <c r="AA86" t="str">
        <f t="shared" si="61"/>
        <v>Hippowdon</v>
      </c>
      <c r="AB86" s="2"/>
      <c r="AC86" t="s">
        <v>487</v>
      </c>
      <c r="AD86" s="8" t="str">
        <f>VLOOKUP(AC86,moves!A:B,2,FALSE)</f>
        <v>ground</v>
      </c>
      <c r="AE86" s="8">
        <f>VLOOKUP(AC86,moves!A:D,4,FALSE)</f>
        <v>5</v>
      </c>
      <c r="AF86" s="8" t="str">
        <f>VLOOKUP(AC86,moves!A:E,5,FALSE)</f>
        <v>If 2+ status symbols are rolled: Deal 2 damage to a Pokémon in the target party that is not the target.</v>
      </c>
      <c r="AG86" s="6">
        <v>0</v>
      </c>
      <c r="AH86" s="6">
        <v>0</v>
      </c>
      <c r="AI86" s="8" t="str" cm="1">
        <f t="array" ref="AI86">_xlfn.IFS(AG86=1, "starter", AH86=1, "legendary",T86&lt; 13, "weak",T86&lt; 17, "moderate", TRUE, "strong")</f>
        <v>strong</v>
      </c>
      <c r="AK86">
        <v>2</v>
      </c>
      <c r="AL86" s="8">
        <v>0</v>
      </c>
      <c r="AM86" s="8">
        <v>0</v>
      </c>
    </row>
    <row r="87" spans="1:39" x14ac:dyDescent="0.25">
      <c r="A87" s="9">
        <v>451</v>
      </c>
      <c r="B87" s="2" t="s">
        <v>205</v>
      </c>
      <c r="C87" s="3" t="s">
        <v>3</v>
      </c>
      <c r="D87" s="3" t="s">
        <v>7</v>
      </c>
      <c r="E87" s="1">
        <v>40</v>
      </c>
      <c r="F87" s="1">
        <v>50</v>
      </c>
      <c r="G87" s="1">
        <v>90</v>
      </c>
      <c r="H87" s="1">
        <v>30</v>
      </c>
      <c r="I87" s="1">
        <v>55</v>
      </c>
      <c r="J87" s="1">
        <v>65</v>
      </c>
      <c r="K87" s="1" t="s">
        <v>383</v>
      </c>
      <c r="L87" s="1" t="s">
        <v>298</v>
      </c>
      <c r="M87" s="1" t="s">
        <v>302</v>
      </c>
      <c r="N87" s="9">
        <f t="shared" si="64"/>
        <v>5.4</v>
      </c>
      <c r="O87" s="9">
        <f t="shared" si="65"/>
        <v>5.95</v>
      </c>
      <c r="P87" s="9">
        <v>0</v>
      </c>
      <c r="Q87" s="9">
        <v>0</v>
      </c>
      <c r="R87" s="12">
        <f t="shared" si="66"/>
        <v>5</v>
      </c>
      <c r="S87" s="12">
        <f t="shared" si="67"/>
        <v>6</v>
      </c>
      <c r="T87" s="12">
        <f t="shared" si="68"/>
        <v>11</v>
      </c>
      <c r="U87" s="1" t="str">
        <f t="shared" si="62"/>
        <v>poison</v>
      </c>
      <c r="V87" s="1" t="str">
        <f>IF(D87 = 0, "", D87)</f>
        <v>bug</v>
      </c>
      <c r="W87" s="1" t="s">
        <v>9</v>
      </c>
      <c r="X87" s="1" t="s">
        <v>13</v>
      </c>
      <c r="Y87" s="1" t="str">
        <f>B88</f>
        <v>Drapion</v>
      </c>
      <c r="Z87" s="12">
        <f t="shared" si="63"/>
        <v>7</v>
      </c>
      <c r="AA87" t="str">
        <f t="shared" si="61"/>
        <v>Skorupi</v>
      </c>
      <c r="AB87" s="2"/>
      <c r="AC87" t="s">
        <v>517</v>
      </c>
      <c r="AD87" s="8" t="str">
        <f>VLOOKUP(AC87,moves!A:B,2,FALSE)</f>
        <v>bug</v>
      </c>
      <c r="AE87" s="8">
        <f>VLOOKUP(AC87,moves!A:D,4,FALSE)</f>
        <v>3</v>
      </c>
      <c r="AF87" s="8" t="str">
        <f>VLOOKUP(AC87,moves!A:E,5,FALSE)</f>
        <v>Consume an Apricorn from the bag of target. The target decides which one.</v>
      </c>
      <c r="AG87" s="6">
        <v>0</v>
      </c>
      <c r="AH87" s="6">
        <v>0</v>
      </c>
      <c r="AI87" s="8" t="str" cm="1">
        <f t="array" ref="AI87">_xlfn.IFS(AG87=1, "starter", AH87=1, "legendary",T87&lt; 13, "weak",T87&lt; 17, "moderate", TRUE, "strong")</f>
        <v>weak</v>
      </c>
      <c r="AK87">
        <v>1</v>
      </c>
      <c r="AL87" s="8">
        <v>0</v>
      </c>
      <c r="AM87" s="8">
        <v>0</v>
      </c>
    </row>
    <row r="88" spans="1:39" x14ac:dyDescent="0.25">
      <c r="A88" s="9">
        <v>452</v>
      </c>
      <c r="B88" s="2" t="s">
        <v>206</v>
      </c>
      <c r="C88" s="3" t="s">
        <v>3</v>
      </c>
      <c r="D88" s="3" t="s">
        <v>9</v>
      </c>
      <c r="E88" s="1">
        <v>70</v>
      </c>
      <c r="F88" s="1">
        <v>90</v>
      </c>
      <c r="G88" s="1">
        <v>110</v>
      </c>
      <c r="H88" s="1">
        <v>60</v>
      </c>
      <c r="I88" s="1">
        <v>75</v>
      </c>
      <c r="J88" s="1">
        <v>95</v>
      </c>
      <c r="K88" s="1" t="s">
        <v>384</v>
      </c>
      <c r="L88" s="1" t="s">
        <v>298</v>
      </c>
      <c r="M88" s="1" t="s">
        <v>302</v>
      </c>
      <c r="N88" s="9">
        <f t="shared" si="64"/>
        <v>8.9</v>
      </c>
      <c r="O88" s="9">
        <f t="shared" si="65"/>
        <v>8.35</v>
      </c>
      <c r="P88" s="9">
        <v>0</v>
      </c>
      <c r="Q88" s="9">
        <v>0</v>
      </c>
      <c r="R88" s="12">
        <f t="shared" si="66"/>
        <v>9</v>
      </c>
      <c r="S88" s="12">
        <f t="shared" si="67"/>
        <v>8</v>
      </c>
      <c r="T88" s="12">
        <f t="shared" si="68"/>
        <v>17</v>
      </c>
      <c r="U88" s="1" t="str">
        <f t="shared" si="62"/>
        <v>poison</v>
      </c>
      <c r="V88" s="1" t="str">
        <f>IF(D88 = 0, "", D88)</f>
        <v>dark</v>
      </c>
      <c r="W88" s="1" t="s">
        <v>7</v>
      </c>
      <c r="X88" s="1" t="s">
        <v>13</v>
      </c>
      <c r="Z88" s="12" t="str">
        <f t="shared" si="63"/>
        <v/>
      </c>
      <c r="AA88" t="str">
        <f t="shared" si="61"/>
        <v>Drapion</v>
      </c>
      <c r="AB88" s="2"/>
      <c r="AC88" t="s">
        <v>467</v>
      </c>
      <c r="AD88" s="8" t="str">
        <f>VLOOKUP(AC88,moves!A:B,2,FALSE)</f>
        <v>poison</v>
      </c>
      <c r="AE88" s="8">
        <f>VLOOKUP(AC88,moves!A:D,4,FALSE)</f>
        <v>4</v>
      </c>
      <c r="AF88" s="8" t="str">
        <f>VLOOKUP(AC88,moves!A:E,5,FALSE)</f>
        <v>Critical hits deal +1 damage.</v>
      </c>
      <c r="AG88" s="6">
        <v>0</v>
      </c>
      <c r="AH88" s="6">
        <v>0</v>
      </c>
      <c r="AI88" s="8" t="str" cm="1">
        <f t="array" ref="AI88">_xlfn.IFS(AG88=1, "starter", AH88=1, "legendary",T88&lt; 13, "weak",T88&lt; 17, "moderate", TRUE, "strong")</f>
        <v>strong</v>
      </c>
      <c r="AK88">
        <v>2</v>
      </c>
      <c r="AL88" s="8">
        <v>0</v>
      </c>
      <c r="AM88" s="8">
        <v>0</v>
      </c>
    </row>
    <row r="89" spans="1:39" x14ac:dyDescent="0.25">
      <c r="A89" s="9">
        <v>453</v>
      </c>
      <c r="B89" s="2" t="s">
        <v>207</v>
      </c>
      <c r="C89" s="3" t="s">
        <v>3</v>
      </c>
      <c r="D89" s="3" t="s">
        <v>22</v>
      </c>
      <c r="E89" s="1">
        <v>48</v>
      </c>
      <c r="F89" s="1">
        <v>61</v>
      </c>
      <c r="G89" s="1">
        <v>40</v>
      </c>
      <c r="H89" s="1">
        <v>61</v>
      </c>
      <c r="I89" s="1">
        <v>40</v>
      </c>
      <c r="J89" s="1">
        <v>50</v>
      </c>
      <c r="K89" s="1" t="s">
        <v>385</v>
      </c>
      <c r="L89" s="1" t="s">
        <v>298</v>
      </c>
      <c r="M89" s="1" t="s">
        <v>302</v>
      </c>
      <c r="N89" s="9">
        <f t="shared" si="64"/>
        <v>5.66</v>
      </c>
      <c r="O89" s="9">
        <f t="shared" si="65"/>
        <v>4.32</v>
      </c>
      <c r="P89" s="9">
        <v>0</v>
      </c>
      <c r="Q89" s="9">
        <v>0</v>
      </c>
      <c r="R89" s="12">
        <f t="shared" si="66"/>
        <v>6</v>
      </c>
      <c r="S89" s="12">
        <f t="shared" si="67"/>
        <v>4</v>
      </c>
      <c r="T89" s="12">
        <f t="shared" si="68"/>
        <v>10</v>
      </c>
      <c r="U89" s="1" t="str">
        <f t="shared" si="62"/>
        <v>poison</v>
      </c>
      <c r="V89" s="1" t="str">
        <f>IF(D89 = 0, "", D89)</f>
        <v>fighting</v>
      </c>
      <c r="W89" s="1" t="s">
        <v>9</v>
      </c>
      <c r="X89" s="1" t="s">
        <v>13</v>
      </c>
      <c r="Y89" s="1" t="str">
        <f>B90</f>
        <v>Toxicroak</v>
      </c>
      <c r="Z89" s="12">
        <f t="shared" si="63"/>
        <v>8</v>
      </c>
      <c r="AA89" t="str">
        <f t="shared" si="61"/>
        <v>Croagunk</v>
      </c>
      <c r="AB89" s="2"/>
      <c r="AC89" t="s">
        <v>531</v>
      </c>
      <c r="AD89" s="8" t="str">
        <f>VLOOKUP(AC89,moves!A:B,2,FALSE)</f>
        <v>fighting</v>
      </c>
      <c r="AE89" s="8">
        <f>VLOOKUP(AC89,moves!A:D,4,FALSE)</f>
        <v>2</v>
      </c>
      <c r="AF89" s="8" t="str">
        <f>VLOOKUP(AC89,moves!A:E,5,FALSE)</f>
        <v>For each fainted Pokémon in your party: Attack strength is increased by 1.</v>
      </c>
      <c r="AG89" s="6">
        <v>0</v>
      </c>
      <c r="AH89" s="6">
        <v>0</v>
      </c>
      <c r="AI89" s="8" t="str" cm="1">
        <f t="array" ref="AI89">_xlfn.IFS(AG89=1, "starter", AH89=1, "legendary",T89&lt; 13, "weak",T89&lt; 17, "moderate", TRUE, "strong")</f>
        <v>weak</v>
      </c>
      <c r="AK89">
        <v>1</v>
      </c>
      <c r="AL89" s="8">
        <v>0</v>
      </c>
      <c r="AM89" s="8">
        <v>0</v>
      </c>
    </row>
    <row r="90" spans="1:39" x14ac:dyDescent="0.25">
      <c r="A90" s="9">
        <v>454</v>
      </c>
      <c r="B90" s="2" t="s">
        <v>208</v>
      </c>
      <c r="C90" s="3" t="s">
        <v>3</v>
      </c>
      <c r="D90" s="3" t="s">
        <v>22</v>
      </c>
      <c r="E90" s="1">
        <v>83</v>
      </c>
      <c r="F90" s="1">
        <v>106</v>
      </c>
      <c r="G90" s="1">
        <v>65</v>
      </c>
      <c r="H90" s="1">
        <v>86</v>
      </c>
      <c r="I90" s="1">
        <v>65</v>
      </c>
      <c r="J90" s="1">
        <v>85</v>
      </c>
      <c r="K90" s="1" t="s">
        <v>385</v>
      </c>
      <c r="L90" s="1" t="s">
        <v>298</v>
      </c>
      <c r="M90" s="1" t="s">
        <v>302</v>
      </c>
      <c r="N90" s="9">
        <f t="shared" si="64"/>
        <v>9.5599999999999987</v>
      </c>
      <c r="O90" s="9">
        <f t="shared" si="65"/>
        <v>7.2200000000000006</v>
      </c>
      <c r="P90" s="9">
        <v>0</v>
      </c>
      <c r="Q90" s="9">
        <v>0</v>
      </c>
      <c r="R90" s="12">
        <f t="shared" si="66"/>
        <v>10</v>
      </c>
      <c r="S90" s="12">
        <f t="shared" si="67"/>
        <v>7</v>
      </c>
      <c r="T90" s="12">
        <f t="shared" si="68"/>
        <v>17</v>
      </c>
      <c r="U90" s="1" t="str">
        <f t="shared" si="62"/>
        <v>poison</v>
      </c>
      <c r="V90" s="1" t="str">
        <f>IF(D90 = 0, "", D90)</f>
        <v>fighting</v>
      </c>
      <c r="W90" s="1" t="s">
        <v>9</v>
      </c>
      <c r="X90" s="1" t="s">
        <v>13</v>
      </c>
      <c r="Z90" s="12" t="str">
        <f t="shared" si="63"/>
        <v/>
      </c>
      <c r="AA90" t="str">
        <f t="shared" si="61"/>
        <v>Toxicroak</v>
      </c>
      <c r="AB90" s="2"/>
      <c r="AC90" t="s">
        <v>949</v>
      </c>
      <c r="AD90" s="8" t="str">
        <f>VLOOKUP(AC90,moves!A:B,2,FALSE)</f>
        <v>poison</v>
      </c>
      <c r="AE90" s="8">
        <f>VLOOKUP(AC90,moves!A:D,4,FALSE)</f>
        <v>4</v>
      </c>
      <c r="AF90" s="8" t="str">
        <f>VLOOKUP(AC90,moves!A:E,5,FALSE)</f>
        <v>If a status symbol is rolled: Inflict the Poisoned status on the target.</v>
      </c>
      <c r="AG90" s="6">
        <v>0</v>
      </c>
      <c r="AH90" s="6">
        <v>0</v>
      </c>
      <c r="AI90" s="8" t="str" cm="1">
        <f t="array" ref="AI90">_xlfn.IFS(AG90=1, "starter", AH90=1, "legendary",T90&lt; 13, "weak",T90&lt; 17, "moderate", TRUE, "strong")</f>
        <v>strong</v>
      </c>
      <c r="AK90">
        <v>2</v>
      </c>
      <c r="AL90" s="8">
        <v>0</v>
      </c>
      <c r="AM90" s="8">
        <v>0</v>
      </c>
    </row>
    <row r="91" spans="1:39" x14ac:dyDescent="0.25">
      <c r="A91" s="9">
        <v>455</v>
      </c>
      <c r="B91" s="2" t="s">
        <v>209</v>
      </c>
      <c r="C91" s="3" t="s">
        <v>2</v>
      </c>
      <c r="E91" s="1">
        <v>74</v>
      </c>
      <c r="F91" s="1">
        <v>100</v>
      </c>
      <c r="G91" s="1">
        <v>72</v>
      </c>
      <c r="H91" s="1">
        <v>90</v>
      </c>
      <c r="I91" s="1">
        <v>72</v>
      </c>
      <c r="J91" s="1">
        <v>46</v>
      </c>
      <c r="K91" s="1" t="s">
        <v>386</v>
      </c>
      <c r="L91" s="1" t="s">
        <v>298</v>
      </c>
      <c r="M91" s="1" t="s">
        <v>302</v>
      </c>
      <c r="N91" s="9">
        <f t="shared" si="64"/>
        <v>7.74</v>
      </c>
      <c r="O91" s="9">
        <f t="shared" si="65"/>
        <v>7.2799999999999994</v>
      </c>
      <c r="P91" s="9">
        <v>0</v>
      </c>
      <c r="Q91" s="9">
        <v>0</v>
      </c>
      <c r="R91" s="12">
        <f t="shared" si="66"/>
        <v>8</v>
      </c>
      <c r="S91" s="12">
        <f t="shared" si="67"/>
        <v>7</v>
      </c>
      <c r="T91" s="12">
        <f t="shared" si="68"/>
        <v>15</v>
      </c>
      <c r="U91" s="1" t="str">
        <f t="shared" si="62"/>
        <v>grass</v>
      </c>
      <c r="V91" s="3" t="s">
        <v>9</v>
      </c>
      <c r="W91" s="1" t="s">
        <v>8</v>
      </c>
      <c r="X91" s="1" t="s">
        <v>3</v>
      </c>
      <c r="Z91" s="12" t="str">
        <f t="shared" si="63"/>
        <v/>
      </c>
      <c r="AA91" t="str">
        <f t="shared" si="61"/>
        <v>Carnivine</v>
      </c>
      <c r="AB91" s="2"/>
      <c r="AC91" t="s">
        <v>944</v>
      </c>
      <c r="AD91" s="8" t="str">
        <f>VLOOKUP(AC91,moves!A:B,2,FALSE)</f>
        <v>grass</v>
      </c>
      <c r="AE91" s="8">
        <f>VLOOKUP(AC91,moves!A:D,4,FALSE)</f>
        <v>4</v>
      </c>
      <c r="AF91" s="8" t="str">
        <f>VLOOKUP(AC91,moves!A:E,5,FALSE)</f>
        <v>Deals 4 extra damage to Bug-type Pokémon. The target may no longer switch out or flee the battle.</v>
      </c>
      <c r="AG91" s="6">
        <v>0</v>
      </c>
      <c r="AH91" s="6">
        <v>0</v>
      </c>
      <c r="AI91" s="8" t="str" cm="1">
        <f t="array" ref="AI91">_xlfn.IFS(AG91=1, "starter", AH91=1, "legendary",T91&lt; 13, "weak",T91&lt; 17, "moderate", TRUE, "strong")</f>
        <v>moderate</v>
      </c>
      <c r="AK91">
        <v>1</v>
      </c>
      <c r="AL91" s="8">
        <v>0</v>
      </c>
      <c r="AM91" s="8">
        <v>0</v>
      </c>
    </row>
    <row r="92" spans="1:39" x14ac:dyDescent="0.25">
      <c r="A92" s="9">
        <v>456</v>
      </c>
      <c r="B92" s="2" t="s">
        <v>210</v>
      </c>
      <c r="C92" s="3" t="s">
        <v>6</v>
      </c>
      <c r="E92" s="1">
        <v>49</v>
      </c>
      <c r="F92" s="1">
        <v>49</v>
      </c>
      <c r="G92" s="1">
        <v>56</v>
      </c>
      <c r="H92" s="1">
        <v>49</v>
      </c>
      <c r="I92" s="1">
        <v>61</v>
      </c>
      <c r="J92" s="1">
        <v>66</v>
      </c>
      <c r="K92" s="1" t="s">
        <v>387</v>
      </c>
      <c r="L92" s="1" t="s">
        <v>303</v>
      </c>
      <c r="M92" s="1" t="s">
        <v>302</v>
      </c>
      <c r="N92" s="9">
        <f t="shared" si="64"/>
        <v>5.58</v>
      </c>
      <c r="O92" s="9">
        <f t="shared" si="65"/>
        <v>5.4700000000000006</v>
      </c>
      <c r="P92" s="9">
        <v>0</v>
      </c>
      <c r="Q92" s="9">
        <v>0</v>
      </c>
      <c r="R92" s="12">
        <f t="shared" si="66"/>
        <v>6</v>
      </c>
      <c r="S92" s="12">
        <f t="shared" si="67"/>
        <v>5</v>
      </c>
      <c r="T92" s="12">
        <f t="shared" si="68"/>
        <v>11</v>
      </c>
      <c r="U92" s="1" t="str">
        <f t="shared" si="62"/>
        <v>water</v>
      </c>
      <c r="V92" s="1" t="s">
        <v>7</v>
      </c>
      <c r="W92" s="1" t="s">
        <v>5</v>
      </c>
      <c r="X92" s="1" t="s">
        <v>14</v>
      </c>
      <c r="Y92" s="1" t="str">
        <f>B93</f>
        <v>Lumineon</v>
      </c>
      <c r="Z92" s="12">
        <f t="shared" si="63"/>
        <v>6</v>
      </c>
      <c r="AA92" t="str">
        <f t="shared" si="61"/>
        <v>Finneon</v>
      </c>
      <c r="AB92" s="2"/>
      <c r="AC92" t="s">
        <v>485</v>
      </c>
      <c r="AD92" s="8" t="str">
        <f>VLOOKUP(AC92,moves!A:B,2,FALSE)</f>
        <v>bug</v>
      </c>
      <c r="AE92" s="8">
        <f>VLOOKUP(AC92,moves!A:D,4,FALSE)</f>
        <v>3</v>
      </c>
      <c r="AF92" s="8" t="str">
        <f>VLOOKUP(AC92,moves!A:E,5,FALSE)</f>
        <v>The user may switch out.</v>
      </c>
      <c r="AG92" s="6">
        <v>0</v>
      </c>
      <c r="AH92" s="6">
        <v>0</v>
      </c>
      <c r="AI92" s="8" t="str" cm="1">
        <f t="array" ref="AI92">_xlfn.IFS(AG92=1, "starter", AH92=1, "legendary",T92&lt; 13, "weak",T92&lt; 17, "moderate", TRUE, "strong")</f>
        <v>weak</v>
      </c>
      <c r="AK92">
        <v>1</v>
      </c>
      <c r="AL92" s="8">
        <v>0</v>
      </c>
      <c r="AM92" s="8">
        <v>0</v>
      </c>
    </row>
    <row r="93" spans="1:39" x14ac:dyDescent="0.25">
      <c r="A93" s="9">
        <v>457</v>
      </c>
      <c r="B93" s="2" t="s">
        <v>211</v>
      </c>
      <c r="C93" s="3" t="s">
        <v>6</v>
      </c>
      <c r="E93" s="1">
        <v>69</v>
      </c>
      <c r="F93" s="1">
        <v>69</v>
      </c>
      <c r="G93" s="1">
        <v>76</v>
      </c>
      <c r="H93" s="1">
        <v>69</v>
      </c>
      <c r="I93" s="1">
        <v>86</v>
      </c>
      <c r="J93" s="1">
        <v>91</v>
      </c>
      <c r="K93" s="1" t="s">
        <v>388</v>
      </c>
      <c r="L93" s="1" t="s">
        <v>303</v>
      </c>
      <c r="M93" s="1" t="s">
        <v>302</v>
      </c>
      <c r="N93" s="9">
        <f t="shared" si="64"/>
        <v>7.7800000000000011</v>
      </c>
      <c r="O93" s="9">
        <f t="shared" si="65"/>
        <v>7.62</v>
      </c>
      <c r="P93" s="9">
        <v>0</v>
      </c>
      <c r="Q93" s="9">
        <v>0</v>
      </c>
      <c r="R93" s="12">
        <f t="shared" si="66"/>
        <v>8</v>
      </c>
      <c r="S93" s="12">
        <f t="shared" si="67"/>
        <v>8</v>
      </c>
      <c r="T93" s="12">
        <f t="shared" si="68"/>
        <v>16</v>
      </c>
      <c r="U93" s="1" t="str">
        <f t="shared" si="62"/>
        <v>water</v>
      </c>
      <c r="V93" s="1" t="s">
        <v>7</v>
      </c>
      <c r="W93" s="1" t="s">
        <v>5</v>
      </c>
      <c r="X93" s="1" t="s">
        <v>14</v>
      </c>
      <c r="Z93" s="12" t="str">
        <f t="shared" si="63"/>
        <v/>
      </c>
      <c r="AA93" t="str">
        <f t="shared" si="61"/>
        <v>Lumineon</v>
      </c>
      <c r="AB93" s="2"/>
      <c r="AC93" t="s">
        <v>968</v>
      </c>
      <c r="AD93" s="8" t="str">
        <f>VLOOKUP(AC93,moves!A:B,2,FALSE)</f>
        <v>water</v>
      </c>
      <c r="AE93" s="8">
        <f>VLOOKUP(AC93,moves!A:D,4,FALSE)</f>
        <v>4</v>
      </c>
      <c r="AF93" s="8" t="str">
        <f>VLOOKUP(AC93,moves!A:E,5,FALSE)</f>
        <v>Deals 4 extra damage to Water-type Pokémon. The target may no longer switch out or flee the battle.</v>
      </c>
      <c r="AG93" s="6">
        <v>0</v>
      </c>
      <c r="AH93" s="6">
        <v>0</v>
      </c>
      <c r="AI93" s="8" t="str" cm="1">
        <f t="array" ref="AI93">_xlfn.IFS(AG93=1, "starter", AH93=1, "legendary",T93&lt; 13, "weak",T93&lt; 17, "moderate", TRUE, "strong")</f>
        <v>moderate</v>
      </c>
      <c r="AK93">
        <v>2</v>
      </c>
      <c r="AL93" s="8">
        <v>0</v>
      </c>
      <c r="AM93" s="8">
        <v>0</v>
      </c>
    </row>
    <row r="94" spans="1:39" x14ac:dyDescent="0.25">
      <c r="A94" s="9">
        <v>458</v>
      </c>
      <c r="B94" s="2" t="s">
        <v>212</v>
      </c>
      <c r="C94" s="3" t="s">
        <v>6</v>
      </c>
      <c r="D94" s="3" t="s">
        <v>5</v>
      </c>
      <c r="E94" s="1">
        <v>45</v>
      </c>
      <c r="F94" s="1">
        <v>20</v>
      </c>
      <c r="G94" s="1">
        <v>50</v>
      </c>
      <c r="H94" s="1">
        <v>60</v>
      </c>
      <c r="I94" s="1">
        <v>120</v>
      </c>
      <c r="J94" s="1">
        <v>50</v>
      </c>
      <c r="K94" s="1" t="s">
        <v>389</v>
      </c>
      <c r="L94" s="1" t="s">
        <v>303</v>
      </c>
      <c r="M94" s="1" t="s">
        <v>302</v>
      </c>
      <c r="N94" s="9">
        <f t="shared" si="64"/>
        <v>5.2</v>
      </c>
      <c r="O94" s="9">
        <f t="shared" si="65"/>
        <v>6.9</v>
      </c>
      <c r="P94" s="9">
        <v>0</v>
      </c>
      <c r="Q94" s="9">
        <v>0</v>
      </c>
      <c r="R94" s="12">
        <f t="shared" si="66"/>
        <v>5</v>
      </c>
      <c r="S94" s="12">
        <f t="shared" si="67"/>
        <v>7</v>
      </c>
      <c r="T94" s="12">
        <f t="shared" si="68"/>
        <v>12</v>
      </c>
      <c r="U94" s="1" t="str">
        <f t="shared" si="62"/>
        <v>water</v>
      </c>
      <c r="V94" s="1" t="str">
        <f>IF(D94 = 0, "", D94)</f>
        <v>flying</v>
      </c>
      <c r="W94" s="1" t="s">
        <v>14</v>
      </c>
      <c r="X94" s="1" t="s">
        <v>13</v>
      </c>
      <c r="Y94" s="1" t="str">
        <f>B95</f>
        <v>Mantine</v>
      </c>
      <c r="Z94" s="12">
        <f t="shared" si="63"/>
        <v>6</v>
      </c>
      <c r="AA94" t="str">
        <f t="shared" si="61"/>
        <v>Mantyke</v>
      </c>
      <c r="AB94" s="2"/>
      <c r="AC94" t="s">
        <v>497</v>
      </c>
      <c r="AD94" s="8" t="str">
        <f>VLOOKUP(AC94,moves!A:B,2,FALSE)</f>
        <v>flying</v>
      </c>
      <c r="AE94" s="8">
        <f>VLOOKUP(AC94,moves!A:D,4,FALSE)</f>
        <v>3</v>
      </c>
      <c r="AF94" s="8" t="str">
        <f>VLOOKUP(AC94,moves!A:E,5,FALSE)</f>
        <v>When the target next attacks, remove a regular hit from the roll.</v>
      </c>
      <c r="AG94" s="6">
        <v>0</v>
      </c>
      <c r="AH94" s="6">
        <v>0</v>
      </c>
      <c r="AI94" s="8" t="str" cm="1">
        <f t="array" ref="AI94">_xlfn.IFS(AG94=1, "starter", AH94=1, "legendary",T94&lt; 13, "weak",T94&lt; 17, "moderate", TRUE, "strong")</f>
        <v>weak</v>
      </c>
      <c r="AK94">
        <v>1</v>
      </c>
      <c r="AL94" s="8">
        <v>0</v>
      </c>
      <c r="AM94" s="8">
        <v>0</v>
      </c>
    </row>
    <row r="95" spans="1:39" x14ac:dyDescent="0.25">
      <c r="A95" s="9">
        <v>226</v>
      </c>
      <c r="B95" s="2" t="s">
        <v>98</v>
      </c>
      <c r="C95" s="3" t="s">
        <v>6</v>
      </c>
      <c r="D95" s="3" t="s">
        <v>5</v>
      </c>
      <c r="E95" s="1">
        <v>85</v>
      </c>
      <c r="F95" s="1">
        <v>40</v>
      </c>
      <c r="G95" s="1">
        <v>70</v>
      </c>
      <c r="H95" s="1">
        <v>80</v>
      </c>
      <c r="I95" s="1">
        <v>140</v>
      </c>
      <c r="J95" s="1">
        <v>70</v>
      </c>
      <c r="K95" s="1" t="s">
        <v>389</v>
      </c>
      <c r="L95" s="1" t="s">
        <v>303</v>
      </c>
      <c r="M95" s="1" t="s">
        <v>302</v>
      </c>
      <c r="N95" s="9">
        <f t="shared" si="64"/>
        <v>7.2</v>
      </c>
      <c r="O95" s="9">
        <f t="shared" si="65"/>
        <v>9.6999999999999993</v>
      </c>
      <c r="P95" s="9">
        <v>0</v>
      </c>
      <c r="Q95" s="9">
        <v>0</v>
      </c>
      <c r="R95" s="12">
        <f t="shared" si="66"/>
        <v>7</v>
      </c>
      <c r="S95" s="12">
        <f t="shared" si="67"/>
        <v>10</v>
      </c>
      <c r="T95" s="12">
        <f t="shared" si="68"/>
        <v>17</v>
      </c>
      <c r="U95" s="1" t="str">
        <f t="shared" si="62"/>
        <v>water</v>
      </c>
      <c r="V95" s="1" t="str">
        <f>IF(D95 = 0, "", D95)</f>
        <v>flying</v>
      </c>
      <c r="W95" s="1" t="s">
        <v>14</v>
      </c>
      <c r="X95" s="1" t="s">
        <v>13</v>
      </c>
      <c r="Z95" s="12" t="str">
        <f t="shared" si="63"/>
        <v/>
      </c>
      <c r="AA95" t="str">
        <f t="shared" si="61"/>
        <v>Mantine</v>
      </c>
      <c r="AB95" s="2"/>
      <c r="AC95" t="s">
        <v>589</v>
      </c>
      <c r="AD95" s="8" t="str">
        <f>VLOOKUP(AC95,moves!A:B,2,FALSE)</f>
        <v>water</v>
      </c>
      <c r="AE95" s="8">
        <f>VLOOKUP(AC95,moves!A:D,4,FALSE)</f>
        <v>4</v>
      </c>
      <c r="AF95" s="8" t="str">
        <f>VLOOKUP(AC95,moves!A:E,5,FALSE)</f>
        <v>For each other non-fainted Pokémon in your party with the move Surf: Attack strength is increased by 1.</v>
      </c>
      <c r="AG95" s="6">
        <v>0</v>
      </c>
      <c r="AH95" s="6">
        <v>0</v>
      </c>
      <c r="AI95" s="8" t="str" cm="1">
        <f t="array" ref="AI95">_xlfn.IFS(AG95=1, "starter", AH95=1, "legendary",T95&lt; 13, "weak",T95&lt; 17, "moderate", TRUE, "strong")</f>
        <v>strong</v>
      </c>
      <c r="AK95">
        <v>2</v>
      </c>
      <c r="AL95" s="8">
        <v>0</v>
      </c>
      <c r="AM95" s="8">
        <v>0</v>
      </c>
    </row>
    <row r="96" spans="1:39" x14ac:dyDescent="0.25">
      <c r="A96" s="9">
        <v>223</v>
      </c>
      <c r="B96" t="s">
        <v>96</v>
      </c>
      <c r="C96" t="s">
        <v>6</v>
      </c>
      <c r="D96"/>
      <c r="E96">
        <v>35</v>
      </c>
      <c r="F96">
        <v>65</v>
      </c>
      <c r="G96">
        <v>35</v>
      </c>
      <c r="H96">
        <v>65</v>
      </c>
      <c r="I96">
        <v>35</v>
      </c>
      <c r="J96">
        <v>65</v>
      </c>
      <c r="K96" t="s">
        <v>283</v>
      </c>
      <c r="L96" s="1" t="s">
        <v>303</v>
      </c>
      <c r="M96" s="1" t="s">
        <v>300</v>
      </c>
      <c r="N96" s="9">
        <f t="shared" si="64"/>
        <v>6.5</v>
      </c>
      <c r="O96" s="9">
        <f t="shared" si="65"/>
        <v>3.5</v>
      </c>
      <c r="P96" s="9">
        <v>0</v>
      </c>
      <c r="Q96" s="9">
        <v>0</v>
      </c>
      <c r="R96" s="12">
        <f t="shared" si="66"/>
        <v>7</v>
      </c>
      <c r="S96" s="12">
        <f t="shared" si="67"/>
        <v>4</v>
      </c>
      <c r="T96" s="12">
        <f t="shared" si="68"/>
        <v>11</v>
      </c>
      <c r="U96" s="1" t="str">
        <f t="shared" si="62"/>
        <v>water</v>
      </c>
      <c r="V96" s="1" t="s">
        <v>14</v>
      </c>
      <c r="W96" s="1" t="s">
        <v>4</v>
      </c>
      <c r="X96" s="9" t="s">
        <v>3</v>
      </c>
      <c r="Y96" s="1" t="str">
        <f>B97</f>
        <v>Octillery</v>
      </c>
      <c r="Z96" s="12">
        <f t="shared" si="63"/>
        <v>6</v>
      </c>
      <c r="AA96" t="str">
        <f t="shared" si="61"/>
        <v>Remoraid</v>
      </c>
      <c r="AB96"/>
      <c r="AC96" t="s">
        <v>647</v>
      </c>
      <c r="AD96" s="8" t="str">
        <f>VLOOKUP(AC96,moves!A:B,2,FALSE)</f>
        <v>ice</v>
      </c>
      <c r="AE96" s="8">
        <f>VLOOKUP(AC96,moves!A:D,4,FALSE)</f>
        <v>3</v>
      </c>
      <c r="AF96" s="8" t="str">
        <f>VLOOKUP(AC96,moves!A:E,5,FALSE)</f>
        <v>When the target next attacks, remove a regular hit from the roll.</v>
      </c>
      <c r="AG96" s="6">
        <v>0</v>
      </c>
      <c r="AH96" s="6">
        <v>0</v>
      </c>
      <c r="AI96" s="8" t="str" cm="1">
        <f t="array" ref="AI96">_xlfn.IFS(AG96=1, "starter", AH96=1, "legendary",T96&lt; 13, "weak",T96&lt; 17, "moderate", TRUE, "strong")</f>
        <v>weak</v>
      </c>
      <c r="AK96">
        <v>1</v>
      </c>
      <c r="AL96" s="8">
        <v>0</v>
      </c>
      <c r="AM96" s="8">
        <v>0</v>
      </c>
    </row>
    <row r="97" spans="1:39" x14ac:dyDescent="0.25">
      <c r="A97" s="9">
        <v>224</v>
      </c>
      <c r="B97" t="s">
        <v>97</v>
      </c>
      <c r="C97" t="s">
        <v>6</v>
      </c>
      <c r="D97"/>
      <c r="E97">
        <v>75</v>
      </c>
      <c r="F97">
        <v>105</v>
      </c>
      <c r="G97">
        <v>75</v>
      </c>
      <c r="H97">
        <v>105</v>
      </c>
      <c r="I97">
        <v>75</v>
      </c>
      <c r="J97">
        <v>45</v>
      </c>
      <c r="K97" t="s">
        <v>283</v>
      </c>
      <c r="L97" s="1" t="s">
        <v>303</v>
      </c>
      <c r="M97" s="1" t="s">
        <v>300</v>
      </c>
      <c r="N97" s="9">
        <f t="shared" si="64"/>
        <v>8.1</v>
      </c>
      <c r="O97" s="9">
        <f t="shared" si="65"/>
        <v>7.5</v>
      </c>
      <c r="P97" s="9">
        <v>0</v>
      </c>
      <c r="Q97" s="9">
        <v>0</v>
      </c>
      <c r="R97" s="12">
        <f t="shared" si="66"/>
        <v>8</v>
      </c>
      <c r="S97" s="12">
        <f t="shared" si="67"/>
        <v>8</v>
      </c>
      <c r="T97" s="12">
        <f t="shared" si="68"/>
        <v>16</v>
      </c>
      <c r="U97" s="1" t="str">
        <f t="shared" si="62"/>
        <v>water</v>
      </c>
      <c r="V97" s="9" t="s">
        <v>14</v>
      </c>
      <c r="W97" s="1" t="s">
        <v>4</v>
      </c>
      <c r="X97" s="9" t="s">
        <v>3</v>
      </c>
      <c r="Y97"/>
      <c r="Z97" s="12" t="str">
        <f t="shared" si="63"/>
        <v/>
      </c>
      <c r="AA97" t="str">
        <f t="shared" si="61"/>
        <v>Octillery</v>
      </c>
      <c r="AB97"/>
      <c r="AC97" t="s">
        <v>532</v>
      </c>
      <c r="AD97" s="8" t="str">
        <f>VLOOKUP(AC97,moves!A:B,2,FALSE)</f>
        <v>water</v>
      </c>
      <c r="AE97" s="8">
        <f>VLOOKUP(AC97,moves!A:D,4,FALSE)</f>
        <v>4</v>
      </c>
      <c r="AF97" s="8" t="str">
        <f>VLOOKUP(AC97,moves!A:E,5,FALSE)</f>
        <v>Critical hits deal +1 damage. When the target next attacks, status symbols deal -1 damage.</v>
      </c>
      <c r="AG97" s="6">
        <v>0</v>
      </c>
      <c r="AH97" s="6">
        <v>0</v>
      </c>
      <c r="AI97" s="8" t="str" cm="1">
        <f t="array" ref="AI97">_xlfn.IFS(AG97=1, "starter", AH97=1, "legendary",T97&lt; 13, "weak",T97&lt; 17, "moderate", TRUE, "strong")</f>
        <v>moderate</v>
      </c>
      <c r="AK97">
        <v>2</v>
      </c>
      <c r="AL97" s="8">
        <v>0</v>
      </c>
      <c r="AM97" s="8">
        <v>0</v>
      </c>
    </row>
    <row r="98" spans="1:39" x14ac:dyDescent="0.25">
      <c r="A98" s="9">
        <v>459</v>
      </c>
      <c r="B98" s="2" t="s">
        <v>213</v>
      </c>
      <c r="C98" s="3" t="s">
        <v>2</v>
      </c>
      <c r="D98" s="3" t="s">
        <v>14</v>
      </c>
      <c r="E98" s="1">
        <v>60</v>
      </c>
      <c r="F98" s="1">
        <v>62</v>
      </c>
      <c r="G98" s="1">
        <v>50</v>
      </c>
      <c r="H98" s="1">
        <v>62</v>
      </c>
      <c r="I98" s="1">
        <v>60</v>
      </c>
      <c r="J98" s="1">
        <v>40</v>
      </c>
      <c r="K98" s="1" t="s">
        <v>390</v>
      </c>
      <c r="L98" s="1" t="s">
        <v>301</v>
      </c>
      <c r="M98" s="1" t="s">
        <v>299</v>
      </c>
      <c r="N98" s="9">
        <f t="shared" si="64"/>
        <v>5.32</v>
      </c>
      <c r="O98" s="9">
        <f t="shared" si="65"/>
        <v>5.7</v>
      </c>
      <c r="P98" s="9">
        <v>0</v>
      </c>
      <c r="Q98" s="9">
        <v>0</v>
      </c>
      <c r="R98" s="12">
        <f t="shared" si="66"/>
        <v>5</v>
      </c>
      <c r="S98" s="12">
        <f t="shared" si="67"/>
        <v>6</v>
      </c>
      <c r="T98" s="12">
        <f t="shared" si="68"/>
        <v>11</v>
      </c>
      <c r="U98" s="1" t="str">
        <f t="shared" si="62"/>
        <v>grass</v>
      </c>
      <c r="V98" s="1" t="str">
        <f t="shared" ref="V98:V104" si="69">IF(D98 = 0, "", D98)</f>
        <v>ice</v>
      </c>
      <c r="W98" s="1" t="s">
        <v>13</v>
      </c>
      <c r="X98" s="1" t="s">
        <v>33</v>
      </c>
      <c r="Y98" s="1" t="str">
        <f>B99</f>
        <v>Abomasnow</v>
      </c>
      <c r="Z98" s="12">
        <f t="shared" si="63"/>
        <v>6</v>
      </c>
      <c r="AA98" t="str">
        <f t="shared" si="61"/>
        <v>Snover</v>
      </c>
      <c r="AB98" s="2"/>
      <c r="AC98" t="s">
        <v>493</v>
      </c>
      <c r="AD98" s="8" t="str">
        <f>VLOOKUP(AC98,moves!A:B,2,FALSE)</f>
        <v>ice</v>
      </c>
      <c r="AE98" s="8">
        <f>VLOOKUP(AC98,moves!A:D,4,FALSE)</f>
        <v>2</v>
      </c>
      <c r="AF98" s="8" t="str">
        <f>VLOOKUP(AC98,moves!A:E,5,FALSE)</f>
        <v>Inflict the Frozen status on the target.</v>
      </c>
      <c r="AG98" s="6">
        <v>0</v>
      </c>
      <c r="AH98" s="6">
        <v>0</v>
      </c>
      <c r="AI98" s="8" t="str" cm="1">
        <f t="array" ref="AI98">_xlfn.IFS(AG98=1, "starter", AH98=1, "legendary",T98&lt; 13, "weak",T98&lt; 17, "moderate", TRUE, "strong")</f>
        <v>weak</v>
      </c>
      <c r="AK98">
        <v>1</v>
      </c>
      <c r="AL98" s="8">
        <v>0</v>
      </c>
      <c r="AM98" s="8">
        <v>0</v>
      </c>
    </row>
    <row r="99" spans="1:39" x14ac:dyDescent="0.25">
      <c r="A99" s="9">
        <v>460</v>
      </c>
      <c r="B99" s="2" t="s">
        <v>214</v>
      </c>
      <c r="C99" s="3" t="s">
        <v>2</v>
      </c>
      <c r="D99" s="3" t="s">
        <v>14</v>
      </c>
      <c r="E99" s="1">
        <v>90</v>
      </c>
      <c r="F99" s="1">
        <v>92</v>
      </c>
      <c r="G99" s="1">
        <v>75</v>
      </c>
      <c r="H99" s="1">
        <v>92</v>
      </c>
      <c r="I99" s="1">
        <v>85</v>
      </c>
      <c r="J99" s="1">
        <v>60</v>
      </c>
      <c r="K99" s="1" t="s">
        <v>390</v>
      </c>
      <c r="L99" s="1" t="s">
        <v>301</v>
      </c>
      <c r="M99" s="1" t="s">
        <v>299</v>
      </c>
      <c r="N99" s="9">
        <f t="shared" si="64"/>
        <v>7.92</v>
      </c>
      <c r="O99" s="9">
        <f t="shared" si="65"/>
        <v>8.4</v>
      </c>
      <c r="P99" s="9">
        <v>0</v>
      </c>
      <c r="Q99" s="9">
        <v>0</v>
      </c>
      <c r="R99" s="12">
        <f t="shared" si="66"/>
        <v>8</v>
      </c>
      <c r="S99" s="12">
        <f t="shared" si="67"/>
        <v>8</v>
      </c>
      <c r="T99" s="12">
        <f t="shared" si="68"/>
        <v>16</v>
      </c>
      <c r="U99" s="1" t="str">
        <f t="shared" si="62"/>
        <v>grass</v>
      </c>
      <c r="V99" s="1" t="str">
        <f t="shared" si="69"/>
        <v>ice</v>
      </c>
      <c r="W99" s="1" t="s">
        <v>13</v>
      </c>
      <c r="X99" s="1" t="s">
        <v>33</v>
      </c>
      <c r="Z99" s="12" t="str">
        <f t="shared" si="63"/>
        <v/>
      </c>
      <c r="AA99" t="str">
        <f t="shared" si="61"/>
        <v>Abomasnow</v>
      </c>
      <c r="AB99" s="2"/>
      <c r="AC99" t="s">
        <v>533</v>
      </c>
      <c r="AD99" s="8" t="str">
        <f>VLOOKUP(AC99,moves!A:B,2,FALSE)</f>
        <v>grass</v>
      </c>
      <c r="AE99" s="8">
        <f>VLOOKUP(AC99,moves!A:D,4,FALSE)</f>
        <v>5</v>
      </c>
      <c r="AF99" s="8" t="str">
        <f>VLOOKUP(AC99,moves!A:E,5,FALSE)</f>
        <v>Critical hits deal +2 damage but for each critical hit rolled: The user takes 2 damage.</v>
      </c>
      <c r="AG99" s="6">
        <v>0</v>
      </c>
      <c r="AH99" s="6">
        <v>0</v>
      </c>
      <c r="AI99" s="8" t="str" cm="1">
        <f t="array" ref="AI99">_xlfn.IFS(AG99=1, "starter", AH99=1, "legendary",T99&lt; 13, "weak",T99&lt; 17, "moderate", TRUE, "strong")</f>
        <v>moderate</v>
      </c>
      <c r="AK99">
        <v>2</v>
      </c>
      <c r="AL99" s="8">
        <v>0</v>
      </c>
      <c r="AM99" s="8">
        <v>0</v>
      </c>
    </row>
    <row r="100" spans="1:39" x14ac:dyDescent="0.25">
      <c r="A100" s="9">
        <v>215</v>
      </c>
      <c r="B100" s="2" t="s">
        <v>90</v>
      </c>
      <c r="C100" s="3" t="s">
        <v>9</v>
      </c>
      <c r="D100" s="3" t="s">
        <v>14</v>
      </c>
      <c r="E100" s="1">
        <v>55</v>
      </c>
      <c r="F100" s="1">
        <v>95</v>
      </c>
      <c r="G100" s="1">
        <v>55</v>
      </c>
      <c r="H100" s="1">
        <v>35</v>
      </c>
      <c r="I100" s="1">
        <v>75</v>
      </c>
      <c r="J100" s="1">
        <v>115</v>
      </c>
      <c r="K100" s="1" t="s">
        <v>391</v>
      </c>
      <c r="L100" s="1" t="s">
        <v>301</v>
      </c>
      <c r="M100" s="1" t="s">
        <v>299</v>
      </c>
      <c r="N100" s="9">
        <f t="shared" si="64"/>
        <v>9.6999999999999993</v>
      </c>
      <c r="O100" s="9">
        <f t="shared" si="65"/>
        <v>6.1</v>
      </c>
      <c r="P100" s="9">
        <v>0</v>
      </c>
      <c r="Q100" s="9">
        <v>0</v>
      </c>
      <c r="R100" s="12">
        <f t="shared" si="66"/>
        <v>10</v>
      </c>
      <c r="S100" s="12">
        <f t="shared" si="67"/>
        <v>6</v>
      </c>
      <c r="T100" s="12">
        <f t="shared" si="68"/>
        <v>16</v>
      </c>
      <c r="U100" s="1" t="str">
        <f t="shared" si="62"/>
        <v>dark</v>
      </c>
      <c r="V100" s="1" t="str">
        <f t="shared" si="69"/>
        <v>ice</v>
      </c>
      <c r="W100" s="1" t="s">
        <v>8</v>
      </c>
      <c r="X100" s="1" t="s">
        <v>22</v>
      </c>
      <c r="Y100" s="1" t="str">
        <f>B101</f>
        <v>Weavile</v>
      </c>
      <c r="Z100" s="12">
        <f t="shared" si="63"/>
        <v>4</v>
      </c>
      <c r="AA100" t="str">
        <f t="shared" si="61"/>
        <v>Sneasel</v>
      </c>
      <c r="AB100" s="2"/>
      <c r="AC100" t="s">
        <v>534</v>
      </c>
      <c r="AD100" s="8" t="str">
        <f>VLOOKUP(AC100,moves!A:B,2,FALSE)</f>
        <v>normal</v>
      </c>
      <c r="AE100" s="8">
        <f>VLOOKUP(AC100,moves!A:D,4,FALSE)</f>
        <v>4</v>
      </c>
      <c r="AF100" s="8" t="str">
        <f>VLOOKUP(AC100,moves!A:E,5,FALSE)</f>
        <v>Critical hits deal +1 damage.</v>
      </c>
      <c r="AG100" s="6">
        <v>0</v>
      </c>
      <c r="AH100" s="6">
        <v>0</v>
      </c>
      <c r="AI100" s="8" t="str" cm="1">
        <f t="array" ref="AI100">_xlfn.IFS(AG100=1, "starter", AH100=1, "legendary",T100&lt; 13, "weak",T100&lt; 17, "moderate", TRUE, "strong")</f>
        <v>moderate</v>
      </c>
      <c r="AK100">
        <v>1</v>
      </c>
      <c r="AL100" s="8">
        <v>0</v>
      </c>
      <c r="AM100" s="8">
        <v>0</v>
      </c>
    </row>
    <row r="101" spans="1:39" x14ac:dyDescent="0.25">
      <c r="A101" s="9">
        <v>461</v>
      </c>
      <c r="B101" s="2" t="s">
        <v>215</v>
      </c>
      <c r="C101" s="3" t="s">
        <v>9</v>
      </c>
      <c r="D101" s="3" t="s">
        <v>14</v>
      </c>
      <c r="E101" s="1">
        <v>70</v>
      </c>
      <c r="F101" s="1">
        <v>120</v>
      </c>
      <c r="G101" s="1">
        <v>65</v>
      </c>
      <c r="H101" s="1">
        <v>45</v>
      </c>
      <c r="I101" s="1">
        <v>85</v>
      </c>
      <c r="J101" s="1">
        <v>125</v>
      </c>
      <c r="K101" s="1" t="s">
        <v>391</v>
      </c>
      <c r="L101" s="2" t="s">
        <v>301</v>
      </c>
      <c r="M101" s="2" t="s">
        <v>299</v>
      </c>
      <c r="N101" s="9">
        <f t="shared" si="64"/>
        <v>11.45</v>
      </c>
      <c r="O101" s="9">
        <f t="shared" si="65"/>
        <v>7.3</v>
      </c>
      <c r="P101" s="9">
        <v>0</v>
      </c>
      <c r="Q101" s="9">
        <v>0</v>
      </c>
      <c r="R101" s="12">
        <f t="shared" si="66"/>
        <v>11</v>
      </c>
      <c r="S101" s="12">
        <f t="shared" si="67"/>
        <v>7</v>
      </c>
      <c r="T101" s="12">
        <f t="shared" si="68"/>
        <v>18</v>
      </c>
      <c r="U101" s="1" t="str">
        <f t="shared" si="62"/>
        <v>dark</v>
      </c>
      <c r="V101" s="1" t="str">
        <f t="shared" si="69"/>
        <v>ice</v>
      </c>
      <c r="W101" s="1" t="s">
        <v>8</v>
      </c>
      <c r="X101" s="1" t="s">
        <v>22</v>
      </c>
      <c r="Z101" s="12" t="str">
        <f t="shared" si="63"/>
        <v/>
      </c>
      <c r="AA101" t="str">
        <f t="shared" si="61"/>
        <v>Weavile</v>
      </c>
      <c r="AB101" s="2"/>
      <c r="AC101" t="s">
        <v>614</v>
      </c>
      <c r="AD101" s="8" t="str">
        <f>VLOOKUP(AC101,moves!A:B,2,FALSE)</f>
        <v>ice</v>
      </c>
      <c r="AE101" s="8">
        <f>VLOOKUP(AC101,moves!A:D,4,FALSE)</f>
        <v>4</v>
      </c>
      <c r="AF101" s="8" t="str">
        <f>VLOOKUP(AC101,moves!A:E,5,FALSE)</f>
        <v>If a status symbol is rolled: Inflict the Frozen status on the target.</v>
      </c>
      <c r="AG101" s="6">
        <v>0</v>
      </c>
      <c r="AH101" s="6">
        <v>0</v>
      </c>
      <c r="AI101" s="8" t="str" cm="1">
        <f t="array" ref="AI101">_xlfn.IFS(AG101=1, "starter", AH101=1, "legendary",T101&lt; 13, "weak",T101&lt; 17, "moderate", TRUE, "strong")</f>
        <v>strong</v>
      </c>
      <c r="AK101">
        <v>2</v>
      </c>
      <c r="AL101" s="8">
        <v>0</v>
      </c>
      <c r="AM101" s="8">
        <v>0</v>
      </c>
    </row>
    <row r="102" spans="1:39" x14ac:dyDescent="0.25">
      <c r="A102" s="9">
        <v>81</v>
      </c>
      <c r="B102" s="2" t="s">
        <v>38</v>
      </c>
      <c r="C102" s="3" t="s">
        <v>11</v>
      </c>
      <c r="D102" s="3" t="s">
        <v>39</v>
      </c>
      <c r="E102" s="1">
        <v>25</v>
      </c>
      <c r="F102" s="1">
        <v>35</v>
      </c>
      <c r="G102" s="1">
        <v>70</v>
      </c>
      <c r="H102" s="1">
        <v>95</v>
      </c>
      <c r="I102" s="1">
        <v>55</v>
      </c>
      <c r="J102" s="1">
        <v>45</v>
      </c>
      <c r="K102" s="1" t="s">
        <v>392</v>
      </c>
      <c r="L102" s="1" t="s">
        <v>304</v>
      </c>
      <c r="M102" s="2" t="s">
        <v>302</v>
      </c>
      <c r="N102" s="9">
        <f t="shared" si="64"/>
        <v>6.9</v>
      </c>
      <c r="O102" s="9">
        <f t="shared" si="65"/>
        <v>4.75</v>
      </c>
      <c r="P102" s="9">
        <v>0</v>
      </c>
      <c r="Q102" s="9">
        <v>0</v>
      </c>
      <c r="R102" s="12">
        <f t="shared" si="66"/>
        <v>7</v>
      </c>
      <c r="S102" s="12">
        <f t="shared" si="67"/>
        <v>5</v>
      </c>
      <c r="T102" s="12">
        <f t="shared" si="68"/>
        <v>12</v>
      </c>
      <c r="U102" s="1" t="str">
        <f t="shared" si="62"/>
        <v>electric</v>
      </c>
      <c r="V102" s="1" t="str">
        <f t="shared" si="69"/>
        <v>steel</v>
      </c>
      <c r="W102" s="1" t="s">
        <v>8</v>
      </c>
      <c r="X102" s="1" t="s">
        <v>22</v>
      </c>
      <c r="Y102" s="1" t="str">
        <f>B103</f>
        <v>Magneton</v>
      </c>
      <c r="Z102" s="12">
        <f t="shared" si="63"/>
        <v>5</v>
      </c>
      <c r="AA102" t="str">
        <f t="shared" si="61"/>
        <v>Magnemite</v>
      </c>
      <c r="AB102" s="2"/>
      <c r="AC102" t="s">
        <v>577</v>
      </c>
      <c r="AD102" s="8" t="str">
        <f>VLOOKUP(AC102,moves!A:B,2,FALSE)</f>
        <v>electric</v>
      </c>
      <c r="AE102" s="8">
        <f>VLOOKUP(AC102,moves!A:D,4,FALSE)</f>
        <v>2</v>
      </c>
      <c r="AF102" s="8" t="str">
        <f>VLOOKUP(AC102,moves!A:E,5,FALSE)</f>
        <v>Inflict the Paralysed status on the target.</v>
      </c>
      <c r="AG102" s="6">
        <v>0</v>
      </c>
      <c r="AH102" s="6">
        <v>0</v>
      </c>
      <c r="AI102" s="8" t="str" cm="1">
        <f t="array" ref="AI102">_xlfn.IFS(AG102=1, "starter", AH102=1, "legendary",T102&lt; 13, "weak",T102&lt; 17, "moderate", TRUE, "strong")</f>
        <v>weak</v>
      </c>
      <c r="AK102">
        <v>1</v>
      </c>
      <c r="AL102" s="8">
        <v>0</v>
      </c>
      <c r="AM102" s="8">
        <v>0</v>
      </c>
    </row>
    <row r="103" spans="1:39" x14ac:dyDescent="0.25">
      <c r="A103" s="9">
        <v>82</v>
      </c>
      <c r="B103" s="2" t="s">
        <v>40</v>
      </c>
      <c r="C103" s="3" t="s">
        <v>11</v>
      </c>
      <c r="D103" s="3" t="s">
        <v>39</v>
      </c>
      <c r="E103" s="1">
        <v>50</v>
      </c>
      <c r="F103" s="1">
        <v>60</v>
      </c>
      <c r="G103" s="1">
        <v>95</v>
      </c>
      <c r="H103" s="1">
        <v>120</v>
      </c>
      <c r="I103" s="1">
        <v>70</v>
      </c>
      <c r="J103" s="1">
        <v>70</v>
      </c>
      <c r="K103" s="1" t="s">
        <v>392</v>
      </c>
      <c r="L103" s="1" t="s">
        <v>304</v>
      </c>
      <c r="M103" s="2" t="s">
        <v>302</v>
      </c>
      <c r="N103" s="9">
        <f t="shared" si="64"/>
        <v>9.4</v>
      </c>
      <c r="O103" s="9">
        <f t="shared" si="65"/>
        <v>6.95</v>
      </c>
      <c r="P103" s="9">
        <v>0</v>
      </c>
      <c r="Q103" s="9">
        <v>0</v>
      </c>
      <c r="R103" s="12">
        <f t="shared" si="66"/>
        <v>9</v>
      </c>
      <c r="S103" s="12">
        <f t="shared" si="67"/>
        <v>7</v>
      </c>
      <c r="T103" s="12">
        <f t="shared" si="68"/>
        <v>16</v>
      </c>
      <c r="U103" s="1" t="str">
        <f t="shared" si="62"/>
        <v>electric</v>
      </c>
      <c r="V103" s="1" t="str">
        <f t="shared" si="69"/>
        <v>steel</v>
      </c>
      <c r="W103" s="1" t="s">
        <v>8</v>
      </c>
      <c r="X103" s="1" t="s">
        <v>22</v>
      </c>
      <c r="Y103" s="1" t="str">
        <f>B104</f>
        <v>Magnezone</v>
      </c>
      <c r="Z103" s="12">
        <f t="shared" si="63"/>
        <v>5</v>
      </c>
      <c r="AA103" t="str">
        <f t="shared" si="61"/>
        <v>Magneton</v>
      </c>
      <c r="AB103" s="2"/>
      <c r="AC103" t="s">
        <v>535</v>
      </c>
      <c r="AD103" s="8" t="str">
        <f>VLOOKUP(AC103,moves!A:B,2,FALSE)</f>
        <v>normal</v>
      </c>
      <c r="AE103" s="8">
        <f>VLOOKUP(AC103,moves!A:D,4,FALSE)</f>
        <v>4</v>
      </c>
      <c r="AF103" s="8" t="str">
        <f>VLOOKUP(AC103,moves!A:E,5,FALSE)</f>
        <v>If a status symbol is rolled: Roll a status dice and inflict the result on the target.</v>
      </c>
      <c r="AG103" s="6">
        <v>0</v>
      </c>
      <c r="AH103" s="6">
        <v>0</v>
      </c>
      <c r="AI103" s="8" t="str" cm="1">
        <f t="array" ref="AI103">_xlfn.IFS(AG103=1, "starter", AH103=1, "legendary",T103&lt; 13, "weak",T103&lt; 17, "moderate", TRUE, "strong")</f>
        <v>moderate</v>
      </c>
      <c r="AK103">
        <v>2</v>
      </c>
      <c r="AL103" s="8">
        <v>0</v>
      </c>
      <c r="AM103" s="8">
        <v>0</v>
      </c>
    </row>
    <row r="104" spans="1:39" x14ac:dyDescent="0.25">
      <c r="A104" s="9">
        <v>462</v>
      </c>
      <c r="B104" s="2" t="s">
        <v>216</v>
      </c>
      <c r="C104" s="3" t="s">
        <v>11</v>
      </c>
      <c r="D104" s="3" t="s">
        <v>39</v>
      </c>
      <c r="E104" s="1">
        <v>70</v>
      </c>
      <c r="F104" s="1">
        <v>70</v>
      </c>
      <c r="G104" s="1">
        <v>115</v>
      </c>
      <c r="H104" s="1">
        <v>130</v>
      </c>
      <c r="I104" s="1">
        <v>90</v>
      </c>
      <c r="J104" s="1">
        <v>60</v>
      </c>
      <c r="K104" s="1" t="s">
        <v>393</v>
      </c>
      <c r="L104" s="1" t="s">
        <v>304</v>
      </c>
      <c r="M104" s="2" t="s">
        <v>302</v>
      </c>
      <c r="N104" s="9">
        <f t="shared" si="64"/>
        <v>9.6</v>
      </c>
      <c r="O104" s="9">
        <f t="shared" si="65"/>
        <v>8.9499999999999993</v>
      </c>
      <c r="P104" s="9">
        <v>0</v>
      </c>
      <c r="Q104" s="9">
        <v>0</v>
      </c>
      <c r="R104" s="12">
        <f t="shared" si="66"/>
        <v>10</v>
      </c>
      <c r="S104" s="12">
        <f t="shared" si="67"/>
        <v>9</v>
      </c>
      <c r="T104" s="12">
        <f t="shared" si="68"/>
        <v>19</v>
      </c>
      <c r="U104" s="1" t="str">
        <f t="shared" si="62"/>
        <v>electric</v>
      </c>
      <c r="V104" s="1" t="str">
        <f t="shared" si="69"/>
        <v>steel</v>
      </c>
      <c r="W104" s="1" t="s">
        <v>8</v>
      </c>
      <c r="X104" s="1" t="s">
        <v>22</v>
      </c>
      <c r="Z104" s="12" t="str">
        <f t="shared" si="63"/>
        <v/>
      </c>
      <c r="AA104" t="str">
        <f t="shared" si="61"/>
        <v>Magnezone</v>
      </c>
      <c r="AB104" s="2"/>
      <c r="AC104" t="s">
        <v>510</v>
      </c>
      <c r="AD104" s="8" t="str">
        <f>VLOOKUP(AC104,moves!A:B,2,FALSE)</f>
        <v>steel</v>
      </c>
      <c r="AE104" s="8">
        <f>VLOOKUP(AC104,moves!A:D,4,FALSE)</f>
        <v>4</v>
      </c>
      <c r="AF104" s="8" t="str">
        <f>VLOOKUP(AC104,moves!A:E,5,FALSE)</f>
        <v>When the target next attacks, status symbols deal -1 damage.</v>
      </c>
      <c r="AG104" s="6">
        <v>0</v>
      </c>
      <c r="AH104" s="6">
        <v>0</v>
      </c>
      <c r="AI104" s="8" t="str" cm="1">
        <f t="array" ref="AI104">_xlfn.IFS(AG104=1, "starter", AH104=1, "legendary",T104&lt; 13, "weak",T104&lt; 17, "moderate", TRUE, "strong")</f>
        <v>strong</v>
      </c>
      <c r="AK104">
        <v>3</v>
      </c>
      <c r="AL104" s="8">
        <v>0</v>
      </c>
      <c r="AM104" s="8">
        <v>0</v>
      </c>
    </row>
    <row r="105" spans="1:39" x14ac:dyDescent="0.25">
      <c r="A105" s="9">
        <v>108</v>
      </c>
      <c r="B105" s="2" t="s">
        <v>48</v>
      </c>
      <c r="C105" s="3" t="s">
        <v>8</v>
      </c>
      <c r="E105" s="1">
        <v>90</v>
      </c>
      <c r="F105" s="1">
        <v>55</v>
      </c>
      <c r="G105" s="1">
        <v>75</v>
      </c>
      <c r="H105" s="1">
        <v>60</v>
      </c>
      <c r="I105" s="1">
        <v>75</v>
      </c>
      <c r="J105" s="1">
        <v>30</v>
      </c>
      <c r="K105" s="1" t="s">
        <v>394</v>
      </c>
      <c r="L105" s="2" t="s">
        <v>301</v>
      </c>
      <c r="M105" s="2" t="s">
        <v>300</v>
      </c>
      <c r="N105" s="9">
        <f t="shared" si="64"/>
        <v>4.75</v>
      </c>
      <c r="O105" s="9">
        <f t="shared" si="65"/>
        <v>8.1</v>
      </c>
      <c r="P105" s="9">
        <v>0</v>
      </c>
      <c r="Q105" s="9">
        <v>0</v>
      </c>
      <c r="R105" s="12">
        <f t="shared" si="66"/>
        <v>5</v>
      </c>
      <c r="S105" s="12">
        <f t="shared" si="67"/>
        <v>8</v>
      </c>
      <c r="T105" s="12">
        <f t="shared" si="68"/>
        <v>13</v>
      </c>
      <c r="U105" s="1" t="str">
        <f t="shared" si="62"/>
        <v>normal</v>
      </c>
      <c r="V105" s="1" t="s">
        <v>33</v>
      </c>
      <c r="W105" s="1" t="s">
        <v>4</v>
      </c>
      <c r="X105" s="1" t="s">
        <v>14</v>
      </c>
      <c r="Y105" s="1" t="str">
        <f>B106</f>
        <v>Lickilicky</v>
      </c>
      <c r="Z105" s="12">
        <f t="shared" si="63"/>
        <v>6</v>
      </c>
      <c r="AA105" t="str">
        <f t="shared" si="61"/>
        <v>Lickitung</v>
      </c>
      <c r="AB105" s="2"/>
      <c r="AC105" t="s">
        <v>536</v>
      </c>
      <c r="AD105" s="8" t="str">
        <f>VLOOKUP(AC105,moves!A:B,2,FALSE)</f>
        <v>rock</v>
      </c>
      <c r="AE105" s="8">
        <f>VLOOKUP(AC105,moves!A:D,4,FALSE)</f>
        <v>2</v>
      </c>
      <c r="AF105" s="8" t="str">
        <f>VLOOKUP(AC105,moves!A:E,5,FALSE)</f>
        <v>If this move was used last turn, attack strength is increased to 4.</v>
      </c>
      <c r="AG105" s="6">
        <v>0</v>
      </c>
      <c r="AH105" s="6">
        <v>0</v>
      </c>
      <c r="AI105" s="8" t="str" cm="1">
        <f t="array" ref="AI105">_xlfn.IFS(AG105=1, "starter", AH105=1, "legendary",T105&lt; 13, "weak",T105&lt; 17, "moderate", TRUE, "strong")</f>
        <v>moderate</v>
      </c>
      <c r="AK105">
        <v>1</v>
      </c>
      <c r="AL105" s="8">
        <v>0</v>
      </c>
      <c r="AM105" s="8">
        <v>0</v>
      </c>
    </row>
    <row r="106" spans="1:39" ht="14.25" customHeight="1" x14ac:dyDescent="0.25">
      <c r="A106" s="9">
        <v>463</v>
      </c>
      <c r="B106" s="2" t="s">
        <v>217</v>
      </c>
      <c r="C106" s="3" t="s">
        <v>8</v>
      </c>
      <c r="E106" s="1">
        <v>110</v>
      </c>
      <c r="F106" s="1">
        <v>85</v>
      </c>
      <c r="G106" s="1">
        <v>95</v>
      </c>
      <c r="H106" s="1">
        <v>80</v>
      </c>
      <c r="I106" s="1">
        <v>95</v>
      </c>
      <c r="J106" s="1">
        <v>50</v>
      </c>
      <c r="K106" s="1" t="s">
        <v>394</v>
      </c>
      <c r="L106" s="2" t="s">
        <v>301</v>
      </c>
      <c r="M106" s="2" t="s">
        <v>300</v>
      </c>
      <c r="N106" s="9">
        <f t="shared" si="64"/>
        <v>7.05</v>
      </c>
      <c r="O106" s="9">
        <f t="shared" si="65"/>
        <v>10.1</v>
      </c>
      <c r="P106" s="9">
        <v>0</v>
      </c>
      <c r="Q106" s="9">
        <v>0</v>
      </c>
      <c r="R106" s="12">
        <f t="shared" si="66"/>
        <v>7</v>
      </c>
      <c r="S106" s="12">
        <f t="shared" si="67"/>
        <v>10</v>
      </c>
      <c r="T106" s="12">
        <f t="shared" si="68"/>
        <v>17</v>
      </c>
      <c r="U106" s="1" t="str">
        <f t="shared" si="62"/>
        <v>normal</v>
      </c>
      <c r="V106" s="1" t="s">
        <v>33</v>
      </c>
      <c r="W106" s="1" t="s">
        <v>4</v>
      </c>
      <c r="X106" s="1" t="s">
        <v>14</v>
      </c>
      <c r="Z106" s="12" t="str">
        <f t="shared" si="63"/>
        <v/>
      </c>
      <c r="AA106" t="str">
        <f t="shared" si="61"/>
        <v>Lickilicky</v>
      </c>
      <c r="AB106" s="2"/>
      <c r="AC106" t="s">
        <v>520</v>
      </c>
      <c r="AD106" s="8" t="str">
        <f>VLOOKUP(AC106,moves!A:B,2,FALSE)</f>
        <v>normal</v>
      </c>
      <c r="AE106" s="8">
        <f>VLOOKUP(AC106,moves!A:D,4,FALSE)</f>
        <v>6</v>
      </c>
      <c r="AF106" s="8" t="str">
        <f>VLOOKUP(AC106,moves!A:E,5,FALSE)</f>
        <v>Critical hits deal +2 damage but for each critical hit rolled: The user takes 3 damage.</v>
      </c>
      <c r="AG106" s="6">
        <v>0</v>
      </c>
      <c r="AH106" s="6">
        <v>0</v>
      </c>
      <c r="AI106" s="8" t="str" cm="1">
        <f t="array" ref="AI106">_xlfn.IFS(AG106=1, "starter", AH106=1, "legendary",T106&lt; 13, "weak",T106&lt; 17, "moderate", TRUE, "strong")</f>
        <v>strong</v>
      </c>
      <c r="AK106">
        <v>2</v>
      </c>
      <c r="AL106" s="8">
        <v>0</v>
      </c>
      <c r="AM106" s="8">
        <v>0</v>
      </c>
    </row>
    <row r="107" spans="1:39" x14ac:dyDescent="0.25">
      <c r="A107" s="9">
        <v>111</v>
      </c>
      <c r="B107" s="2" t="s">
        <v>49</v>
      </c>
      <c r="C107" s="3" t="s">
        <v>13</v>
      </c>
      <c r="D107" s="3" t="s">
        <v>33</v>
      </c>
      <c r="E107" s="1">
        <v>80</v>
      </c>
      <c r="F107" s="1">
        <v>85</v>
      </c>
      <c r="G107" s="1">
        <v>95</v>
      </c>
      <c r="H107" s="1">
        <v>30</v>
      </c>
      <c r="I107" s="1">
        <v>30</v>
      </c>
      <c r="J107" s="1">
        <v>25</v>
      </c>
      <c r="K107" s="1" t="s">
        <v>395</v>
      </c>
      <c r="L107" s="1" t="s">
        <v>304</v>
      </c>
      <c r="M107" s="1" t="s">
        <v>300</v>
      </c>
      <c r="N107" s="9">
        <f t="shared" si="64"/>
        <v>5.55</v>
      </c>
      <c r="O107" s="9">
        <f t="shared" si="65"/>
        <v>6.95</v>
      </c>
      <c r="P107" s="9">
        <v>0</v>
      </c>
      <c r="Q107" s="9">
        <v>0</v>
      </c>
      <c r="R107" s="12">
        <f t="shared" si="66"/>
        <v>6</v>
      </c>
      <c r="S107" s="12">
        <f t="shared" si="67"/>
        <v>7</v>
      </c>
      <c r="T107" s="12">
        <f t="shared" si="68"/>
        <v>13</v>
      </c>
      <c r="U107" s="1" t="str">
        <f t="shared" si="62"/>
        <v>ground</v>
      </c>
      <c r="V107" s="1" t="str">
        <f>IF(D107 = 0, "", D107)</f>
        <v>rock</v>
      </c>
      <c r="W107" s="1" t="s">
        <v>7</v>
      </c>
      <c r="X107" s="1" t="s">
        <v>22</v>
      </c>
      <c r="Y107" s="1" t="str">
        <f>B108</f>
        <v>Rhydon</v>
      </c>
      <c r="Z107" s="12">
        <f t="shared" si="63"/>
        <v>7</v>
      </c>
      <c r="AA107" t="str">
        <f t="shared" si="61"/>
        <v>Rhyhorn</v>
      </c>
      <c r="AB107" s="2"/>
      <c r="AC107" t="s">
        <v>661</v>
      </c>
      <c r="AD107" s="8" t="str">
        <f>VLOOKUP(AC107,moves!A:B,2,FALSE)</f>
        <v>rock</v>
      </c>
      <c r="AE107" s="8">
        <f>VLOOKUP(AC107,moves!A:D,4,FALSE)</f>
        <v>2</v>
      </c>
      <c r="AF107" s="8" t="str">
        <f>VLOOKUP(AC107,moves!A:E,5,FALSE)</f>
        <v>When the target is next attacked, Ground-type and Fighting-type moves deal double damage.</v>
      </c>
      <c r="AG107" s="6">
        <v>0</v>
      </c>
      <c r="AH107" s="6">
        <v>0</v>
      </c>
      <c r="AI107" s="8" t="str" cm="1">
        <f t="array" ref="AI107">_xlfn.IFS(AG107=1, "starter", AH107=1, "legendary",T107&lt; 13, "weak",T107&lt; 17, "moderate", TRUE, "strong")</f>
        <v>moderate</v>
      </c>
      <c r="AK107">
        <v>1</v>
      </c>
      <c r="AL107" s="8">
        <v>0</v>
      </c>
      <c r="AM107" s="8">
        <v>0</v>
      </c>
    </row>
    <row r="108" spans="1:39" x14ac:dyDescent="0.25">
      <c r="A108" s="9">
        <v>112</v>
      </c>
      <c r="B108" s="2" t="s">
        <v>50</v>
      </c>
      <c r="C108" s="3" t="s">
        <v>13</v>
      </c>
      <c r="D108" s="3" t="s">
        <v>33</v>
      </c>
      <c r="E108" s="1">
        <v>105</v>
      </c>
      <c r="F108" s="1">
        <v>130</v>
      </c>
      <c r="G108" s="1">
        <v>120</v>
      </c>
      <c r="H108" s="1">
        <v>45</v>
      </c>
      <c r="I108" s="1">
        <v>45</v>
      </c>
      <c r="J108" s="1">
        <v>40</v>
      </c>
      <c r="K108" s="1" t="s">
        <v>396</v>
      </c>
      <c r="L108" s="1" t="s">
        <v>304</v>
      </c>
      <c r="M108" s="1" t="s">
        <v>300</v>
      </c>
      <c r="N108" s="9">
        <f t="shared" si="64"/>
        <v>8.5500000000000007</v>
      </c>
      <c r="O108" s="9">
        <f t="shared" si="65"/>
        <v>9.15</v>
      </c>
      <c r="P108" s="9">
        <v>0</v>
      </c>
      <c r="Q108" s="9">
        <v>0</v>
      </c>
      <c r="R108" s="12">
        <f t="shared" si="66"/>
        <v>9</v>
      </c>
      <c r="S108" s="12">
        <f t="shared" si="67"/>
        <v>9</v>
      </c>
      <c r="T108" s="12">
        <f t="shared" si="68"/>
        <v>18</v>
      </c>
      <c r="U108" s="1" t="str">
        <f t="shared" si="62"/>
        <v>ground</v>
      </c>
      <c r="V108" s="1" t="str">
        <f>IF(D108 = 0, "", D108)</f>
        <v>rock</v>
      </c>
      <c r="W108" s="1" t="s">
        <v>7</v>
      </c>
      <c r="X108" s="1" t="s">
        <v>22</v>
      </c>
      <c r="Y108" s="1" t="str">
        <f>B109</f>
        <v>Rhyperior</v>
      </c>
      <c r="Z108" s="12">
        <f t="shared" si="63"/>
        <v>3</v>
      </c>
      <c r="AA108" t="str">
        <f t="shared" si="61"/>
        <v>Rhydon</v>
      </c>
      <c r="AB108" s="2"/>
      <c r="AC108" t="s">
        <v>487</v>
      </c>
      <c r="AD108" s="8" t="str">
        <f>VLOOKUP(AC108,moves!A:B,2,FALSE)</f>
        <v>ground</v>
      </c>
      <c r="AE108" s="8">
        <f>VLOOKUP(AC108,moves!A:D,4,FALSE)</f>
        <v>5</v>
      </c>
      <c r="AF108" s="8" t="str">
        <f>VLOOKUP(AC108,moves!A:E,5,FALSE)</f>
        <v>If 2+ status symbols are rolled: Deal 2 damage to a Pokémon in the target party that is not the target.</v>
      </c>
      <c r="AG108" s="6">
        <v>0</v>
      </c>
      <c r="AH108" s="6">
        <v>0</v>
      </c>
      <c r="AI108" s="8" t="str" cm="1">
        <f t="array" ref="AI108">_xlfn.IFS(AG108=1, "starter", AH108=1, "legendary",T108&lt; 13, "weak",T108&lt; 17, "moderate", TRUE, "strong")</f>
        <v>strong</v>
      </c>
      <c r="AK108">
        <v>2</v>
      </c>
      <c r="AL108" s="8">
        <v>0</v>
      </c>
      <c r="AM108" s="8">
        <v>0</v>
      </c>
    </row>
    <row r="109" spans="1:39" x14ac:dyDescent="0.25">
      <c r="A109" s="9">
        <v>464</v>
      </c>
      <c r="B109" s="2" t="s">
        <v>218</v>
      </c>
      <c r="C109" s="3" t="s">
        <v>13</v>
      </c>
      <c r="D109" s="3" t="s">
        <v>33</v>
      </c>
      <c r="E109" s="1">
        <v>115</v>
      </c>
      <c r="F109" s="1">
        <v>140</v>
      </c>
      <c r="G109" s="1">
        <v>130</v>
      </c>
      <c r="H109" s="1">
        <v>55</v>
      </c>
      <c r="I109" s="1">
        <v>55</v>
      </c>
      <c r="J109" s="1">
        <v>40</v>
      </c>
      <c r="K109" s="1" t="s">
        <v>396</v>
      </c>
      <c r="L109" s="1" t="s">
        <v>304</v>
      </c>
      <c r="M109" s="1" t="s">
        <v>300</v>
      </c>
      <c r="N109" s="9">
        <f t="shared" si="64"/>
        <v>9.15</v>
      </c>
      <c r="O109" s="9">
        <f t="shared" si="65"/>
        <v>10.15</v>
      </c>
      <c r="P109" s="9">
        <v>0</v>
      </c>
      <c r="Q109" s="9">
        <v>0</v>
      </c>
      <c r="R109" s="12">
        <f t="shared" si="66"/>
        <v>9</v>
      </c>
      <c r="S109" s="12">
        <f t="shared" si="67"/>
        <v>10</v>
      </c>
      <c r="T109" s="12">
        <f t="shared" si="68"/>
        <v>19</v>
      </c>
      <c r="U109" s="1" t="str">
        <f t="shared" si="62"/>
        <v>ground</v>
      </c>
      <c r="V109" s="1" t="str">
        <f>IF(D109 = 0, "", D109)</f>
        <v>rock</v>
      </c>
      <c r="W109" s="1" t="s">
        <v>7</v>
      </c>
      <c r="X109" s="1" t="s">
        <v>22</v>
      </c>
      <c r="Z109" s="12" t="str">
        <f t="shared" si="63"/>
        <v/>
      </c>
      <c r="AA109" t="str">
        <f t="shared" si="61"/>
        <v>Rhyperior</v>
      </c>
      <c r="AB109" s="2"/>
      <c r="AC109" t="s">
        <v>502</v>
      </c>
      <c r="AD109" s="8" t="str">
        <f>VLOOKUP(AC109,moves!A:B,2,FALSE)</f>
        <v>rock</v>
      </c>
      <c r="AE109" s="8">
        <f>VLOOKUP(AC109,moves!A:D,4,FALSE)</f>
        <v>6</v>
      </c>
      <c r="AF109" s="8" t="str">
        <f>VLOOKUP(AC109,moves!A:E,5,FALSE)</f>
        <v>If this move was used last turn, attack strength is decreased to 2.</v>
      </c>
      <c r="AG109" s="6">
        <v>0</v>
      </c>
      <c r="AH109" s="6">
        <v>0</v>
      </c>
      <c r="AI109" s="8" t="str" cm="1">
        <f t="array" ref="AI109">_xlfn.IFS(AG109=1, "starter", AH109=1, "legendary",T109&lt; 13, "weak",T109&lt; 17, "moderate", TRUE, "strong")</f>
        <v>strong</v>
      </c>
      <c r="AK109">
        <v>3</v>
      </c>
      <c r="AL109" s="8">
        <v>0</v>
      </c>
      <c r="AM109" s="8">
        <v>0</v>
      </c>
    </row>
    <row r="110" spans="1:39" x14ac:dyDescent="0.25">
      <c r="A110" s="9">
        <v>114</v>
      </c>
      <c r="B110" s="2" t="s">
        <v>52</v>
      </c>
      <c r="C110" s="3" t="s">
        <v>2</v>
      </c>
      <c r="E110" s="1">
        <v>65</v>
      </c>
      <c r="F110" s="1">
        <v>55</v>
      </c>
      <c r="G110" s="1">
        <v>115</v>
      </c>
      <c r="H110" s="1">
        <v>100</v>
      </c>
      <c r="I110" s="1">
        <v>40</v>
      </c>
      <c r="J110" s="1">
        <v>60</v>
      </c>
      <c r="K110" s="1" t="s">
        <v>397</v>
      </c>
      <c r="L110" s="1" t="s">
        <v>298</v>
      </c>
      <c r="M110" s="1" t="s">
        <v>302</v>
      </c>
      <c r="N110" s="9">
        <f t="shared" si="64"/>
        <v>7.95</v>
      </c>
      <c r="O110" s="9">
        <f t="shared" si="65"/>
        <v>7.25</v>
      </c>
      <c r="P110" s="9">
        <v>0</v>
      </c>
      <c r="Q110" s="9">
        <v>0</v>
      </c>
      <c r="R110" s="12">
        <f t="shared" si="66"/>
        <v>8</v>
      </c>
      <c r="S110" s="12">
        <f t="shared" si="67"/>
        <v>7</v>
      </c>
      <c r="T110" s="12">
        <f t="shared" si="68"/>
        <v>15</v>
      </c>
      <c r="U110" s="1" t="str">
        <f t="shared" si="62"/>
        <v>grass</v>
      </c>
      <c r="V110" s="3" t="s">
        <v>33</v>
      </c>
      <c r="W110" s="1" t="s">
        <v>3</v>
      </c>
      <c r="X110" s="1" t="s">
        <v>13</v>
      </c>
      <c r="Y110" s="1" t="str">
        <f>B111</f>
        <v>Tangrowth</v>
      </c>
      <c r="Z110" s="12">
        <f t="shared" si="63"/>
        <v>5</v>
      </c>
      <c r="AA110" t="str">
        <f t="shared" si="61"/>
        <v>Tangela</v>
      </c>
      <c r="AB110" s="2"/>
      <c r="AC110" t="s">
        <v>537</v>
      </c>
      <c r="AD110" s="8" t="str">
        <f>VLOOKUP(AC110,moves!A:B,2,FALSE)</f>
        <v>rock</v>
      </c>
      <c r="AE110" s="8">
        <f>VLOOKUP(AC110,moves!A:D,4,FALSE)</f>
        <v>3</v>
      </c>
      <c r="AF110" s="8" t="str">
        <f>VLOOKUP(AC110,moves!A:E,5,FALSE)</f>
        <v>Add any critical hits or status symbols rolled on this attack to the next attack roll of the user.</v>
      </c>
      <c r="AG110" s="6">
        <v>0</v>
      </c>
      <c r="AH110" s="6">
        <v>0</v>
      </c>
      <c r="AI110" s="8" t="str" cm="1">
        <f t="array" ref="AI110">_xlfn.IFS(AG110=1, "starter", AH110=1, "legendary",T110&lt; 13, "weak",T110&lt; 17, "moderate", TRUE, "strong")</f>
        <v>moderate</v>
      </c>
      <c r="AK110">
        <v>1</v>
      </c>
      <c r="AL110" s="8">
        <v>0</v>
      </c>
      <c r="AM110" s="8">
        <v>0</v>
      </c>
    </row>
    <row r="111" spans="1:39" x14ac:dyDescent="0.25">
      <c r="A111" s="9">
        <v>465</v>
      </c>
      <c r="B111" s="2" t="s">
        <v>219</v>
      </c>
      <c r="C111" s="3" t="s">
        <v>2</v>
      </c>
      <c r="E111" s="1">
        <v>100</v>
      </c>
      <c r="F111" s="1">
        <v>100</v>
      </c>
      <c r="G111" s="1">
        <v>125</v>
      </c>
      <c r="H111" s="1">
        <v>110</v>
      </c>
      <c r="I111" s="1">
        <v>50</v>
      </c>
      <c r="J111" s="1">
        <v>50</v>
      </c>
      <c r="K111" s="1" t="s">
        <v>397</v>
      </c>
      <c r="L111" s="1" t="s">
        <v>298</v>
      </c>
      <c r="M111" s="1" t="s">
        <v>302</v>
      </c>
      <c r="N111" s="9">
        <f t="shared" si="64"/>
        <v>8.5</v>
      </c>
      <c r="O111" s="9">
        <f t="shared" si="65"/>
        <v>9.25</v>
      </c>
      <c r="P111" s="9">
        <v>0</v>
      </c>
      <c r="Q111" s="9">
        <v>0</v>
      </c>
      <c r="R111" s="12">
        <f t="shared" si="66"/>
        <v>9</v>
      </c>
      <c r="S111" s="12">
        <f t="shared" si="67"/>
        <v>9</v>
      </c>
      <c r="T111" s="12">
        <f t="shared" si="68"/>
        <v>18</v>
      </c>
      <c r="U111" s="1" t="str">
        <f t="shared" si="62"/>
        <v>grass</v>
      </c>
      <c r="V111" s="3" t="s">
        <v>33</v>
      </c>
      <c r="W111" s="1" t="s">
        <v>3</v>
      </c>
      <c r="X111" s="1" t="s">
        <v>13</v>
      </c>
      <c r="Z111" s="12" t="str">
        <f t="shared" si="63"/>
        <v/>
      </c>
      <c r="AA111" t="str">
        <f t="shared" si="61"/>
        <v>Tangrowth</v>
      </c>
      <c r="AB111" s="2"/>
      <c r="AC111" t="s">
        <v>490</v>
      </c>
      <c r="AD111" s="8" t="str">
        <f>VLOOKUP(AC111,moves!A:B,2,FALSE)</f>
        <v>grass</v>
      </c>
      <c r="AE111" s="8">
        <f>VLOOKUP(AC111,moves!A:D,4,FALSE)</f>
        <v>4</v>
      </c>
      <c r="AF111" s="8" t="str">
        <f>VLOOKUP(AC111,moves!A:E,5,FALSE)</f>
        <v>The user heals for half the damage dealt, rounded down.</v>
      </c>
      <c r="AG111" s="6">
        <v>0</v>
      </c>
      <c r="AH111" s="6">
        <v>0</v>
      </c>
      <c r="AI111" s="8" t="str" cm="1">
        <f t="array" ref="AI111">_xlfn.IFS(AG111=1, "starter", AH111=1, "legendary",T111&lt; 13, "weak",T111&lt; 17, "moderate", TRUE, "strong")</f>
        <v>strong</v>
      </c>
      <c r="AK111">
        <v>2</v>
      </c>
      <c r="AL111" s="8">
        <v>0</v>
      </c>
      <c r="AM111" s="8">
        <v>0</v>
      </c>
    </row>
    <row r="112" spans="1:39" x14ac:dyDescent="0.25">
      <c r="A112" s="9">
        <v>239</v>
      </c>
      <c r="B112" s="2" t="s">
        <v>104</v>
      </c>
      <c r="C112" s="3" t="s">
        <v>11</v>
      </c>
      <c r="E112" s="1">
        <v>45</v>
      </c>
      <c r="F112" s="1">
        <v>63</v>
      </c>
      <c r="G112" s="1">
        <v>37</v>
      </c>
      <c r="H112" s="1">
        <v>65</v>
      </c>
      <c r="I112" s="1">
        <v>55</v>
      </c>
      <c r="J112" s="1">
        <v>95</v>
      </c>
      <c r="K112" s="1" t="s">
        <v>398</v>
      </c>
      <c r="L112" s="1" t="s">
        <v>301</v>
      </c>
      <c r="M112" s="1" t="s">
        <v>302</v>
      </c>
      <c r="N112" s="9">
        <f t="shared" si="64"/>
        <v>7.68</v>
      </c>
      <c r="O112" s="9">
        <f t="shared" si="65"/>
        <v>4.5600000000000005</v>
      </c>
      <c r="P112" s="9">
        <v>0</v>
      </c>
      <c r="Q112" s="9">
        <v>0</v>
      </c>
      <c r="R112" s="12">
        <f t="shared" si="66"/>
        <v>8</v>
      </c>
      <c r="S112" s="12">
        <f t="shared" si="67"/>
        <v>5</v>
      </c>
      <c r="T112" s="12">
        <f t="shared" si="68"/>
        <v>13</v>
      </c>
      <c r="U112" s="1" t="str">
        <f t="shared" si="62"/>
        <v>electric</v>
      </c>
      <c r="V112" s="1" t="s">
        <v>22</v>
      </c>
      <c r="W112" s="1" t="s">
        <v>8</v>
      </c>
      <c r="X112" s="1" t="s">
        <v>4</v>
      </c>
      <c r="Y112" s="1" t="str">
        <f>B113</f>
        <v>Electabuzz</v>
      </c>
      <c r="Z112" s="12">
        <f t="shared" si="63"/>
        <v>6</v>
      </c>
      <c r="AA112" t="str">
        <f t="shared" si="61"/>
        <v>Elekid</v>
      </c>
      <c r="AB112" s="2"/>
      <c r="AC112" t="s">
        <v>577</v>
      </c>
      <c r="AD112" s="8" t="str">
        <f>VLOOKUP(AC112,moves!A:B,2,FALSE)</f>
        <v>electric</v>
      </c>
      <c r="AE112" s="8">
        <f>VLOOKUP(AC112,moves!A:D,4,FALSE)</f>
        <v>2</v>
      </c>
      <c r="AF112" s="8" t="str">
        <f>VLOOKUP(AC112,moves!A:E,5,FALSE)</f>
        <v>Inflict the Paralysed status on the target.</v>
      </c>
      <c r="AG112" s="6">
        <v>0</v>
      </c>
      <c r="AH112" s="6">
        <v>0</v>
      </c>
      <c r="AI112" s="8" t="str" cm="1">
        <f t="array" ref="AI112">_xlfn.IFS(AG112=1, "starter", AH112=1, "legendary",T112&lt; 13, "weak",T112&lt; 17, "moderate", TRUE, "strong")</f>
        <v>moderate</v>
      </c>
      <c r="AK112">
        <v>1</v>
      </c>
      <c r="AL112" s="8">
        <v>0</v>
      </c>
      <c r="AM112" s="8">
        <v>0</v>
      </c>
    </row>
    <row r="113" spans="1:39" x14ac:dyDescent="0.25">
      <c r="A113" s="9">
        <v>125</v>
      </c>
      <c r="B113" s="2" t="s">
        <v>54</v>
      </c>
      <c r="C113" s="3" t="s">
        <v>11</v>
      </c>
      <c r="E113" s="1">
        <v>65</v>
      </c>
      <c r="F113" s="1">
        <v>83</v>
      </c>
      <c r="G113" s="1">
        <v>57</v>
      </c>
      <c r="H113" s="1">
        <v>95</v>
      </c>
      <c r="I113" s="1">
        <v>85</v>
      </c>
      <c r="J113" s="1">
        <v>105</v>
      </c>
      <c r="K113" s="1" t="s">
        <v>398</v>
      </c>
      <c r="L113" s="1" t="s">
        <v>301</v>
      </c>
      <c r="M113" s="1" t="s">
        <v>302</v>
      </c>
      <c r="N113" s="9">
        <f t="shared" si="64"/>
        <v>9.7799999999999994</v>
      </c>
      <c r="O113" s="9">
        <f t="shared" si="65"/>
        <v>6.8599999999999994</v>
      </c>
      <c r="P113" s="9">
        <v>0</v>
      </c>
      <c r="Q113" s="9">
        <v>0</v>
      </c>
      <c r="R113" s="12">
        <f t="shared" si="66"/>
        <v>10</v>
      </c>
      <c r="S113" s="12">
        <f t="shared" si="67"/>
        <v>7</v>
      </c>
      <c r="T113" s="12">
        <f t="shared" si="68"/>
        <v>17</v>
      </c>
      <c r="U113" s="1" t="str">
        <f t="shared" si="62"/>
        <v>electric</v>
      </c>
      <c r="V113" s="1" t="s">
        <v>22</v>
      </c>
      <c r="W113" s="1" t="s">
        <v>8</v>
      </c>
      <c r="X113" s="1" t="s">
        <v>4</v>
      </c>
      <c r="Y113" s="1" t="str">
        <f>B114</f>
        <v>Electivire</v>
      </c>
      <c r="Z113" s="12">
        <f t="shared" si="63"/>
        <v>4</v>
      </c>
      <c r="AA113" t="str">
        <f t="shared" si="61"/>
        <v>Electabuzz</v>
      </c>
      <c r="AB113" s="2"/>
      <c r="AC113" t="s">
        <v>488</v>
      </c>
      <c r="AD113" s="8" t="str">
        <f>VLOOKUP(AC113,moves!A:B,2,FALSE)</f>
        <v>electric</v>
      </c>
      <c r="AE113" s="8">
        <f>VLOOKUP(AC113,moves!A:D,4,FALSE)</f>
        <v>4</v>
      </c>
      <c r="AF113" s="8" t="str">
        <f>VLOOKUP(AC113,moves!A:E,5,FALSE)</f>
        <v>If a status symbol is rolled: Inflict the Paralysed status on the target.</v>
      </c>
      <c r="AG113" s="6">
        <v>0</v>
      </c>
      <c r="AH113" s="6">
        <v>0</v>
      </c>
      <c r="AI113" s="8" t="str" cm="1">
        <f t="array" ref="AI113">_xlfn.IFS(AG113=1, "starter", AH113=1, "legendary",T113&lt; 13, "weak",T113&lt; 17, "moderate", TRUE, "strong")</f>
        <v>strong</v>
      </c>
      <c r="AK113">
        <v>2</v>
      </c>
      <c r="AL113" s="8">
        <v>0</v>
      </c>
      <c r="AM113" s="8">
        <v>0</v>
      </c>
    </row>
    <row r="114" spans="1:39" x14ac:dyDescent="0.25">
      <c r="A114" s="9">
        <v>466</v>
      </c>
      <c r="B114" s="2" t="s">
        <v>220</v>
      </c>
      <c r="C114" s="3" t="s">
        <v>11</v>
      </c>
      <c r="E114" s="1">
        <v>75</v>
      </c>
      <c r="F114" s="1">
        <v>123</v>
      </c>
      <c r="G114" s="1">
        <v>67</v>
      </c>
      <c r="H114" s="1">
        <v>95</v>
      </c>
      <c r="I114" s="1">
        <v>85</v>
      </c>
      <c r="J114" s="1">
        <v>95</v>
      </c>
      <c r="K114" s="1" t="s">
        <v>399</v>
      </c>
      <c r="L114" s="1" t="s">
        <v>301</v>
      </c>
      <c r="M114" s="1" t="s">
        <v>302</v>
      </c>
      <c r="N114" s="9">
        <f t="shared" si="64"/>
        <v>10.9</v>
      </c>
      <c r="O114" s="9">
        <f t="shared" si="65"/>
        <v>7.56</v>
      </c>
      <c r="P114" s="9">
        <v>0</v>
      </c>
      <c r="Q114" s="9">
        <v>0</v>
      </c>
      <c r="R114" s="12">
        <f t="shared" si="66"/>
        <v>11</v>
      </c>
      <c r="S114" s="12">
        <f t="shared" si="67"/>
        <v>8</v>
      </c>
      <c r="T114" s="12">
        <f t="shared" si="68"/>
        <v>19</v>
      </c>
      <c r="U114" s="1" t="str">
        <f t="shared" si="62"/>
        <v>electric</v>
      </c>
      <c r="V114" s="1" t="s">
        <v>22</v>
      </c>
      <c r="W114" s="1" t="s">
        <v>8</v>
      </c>
      <c r="X114" s="1" t="s">
        <v>4</v>
      </c>
      <c r="Z114" s="12" t="str">
        <f t="shared" si="63"/>
        <v/>
      </c>
      <c r="AA114" t="str">
        <f t="shared" si="61"/>
        <v>Electivire</v>
      </c>
      <c r="AB114" s="2"/>
      <c r="AC114" t="s">
        <v>699</v>
      </c>
      <c r="AD114" s="8" t="str">
        <f>VLOOKUP(AC114,moves!A:B,2,FALSE)</f>
        <v>electric</v>
      </c>
      <c r="AE114" s="8">
        <f>VLOOKUP(AC114,moves!A:D,4,FALSE)</f>
        <v>4</v>
      </c>
      <c r="AF114" s="8" t="str">
        <f>VLOOKUP(AC114,moves!A:E,5,FALSE)</f>
        <v>If the user knows another Electric-type move, deal 2 extra damage.</v>
      </c>
      <c r="AG114" s="6">
        <v>0</v>
      </c>
      <c r="AH114" s="6">
        <v>0</v>
      </c>
      <c r="AI114" s="8" t="str" cm="1">
        <f t="array" ref="AI114">_xlfn.IFS(AG114=1, "starter", AH114=1, "legendary",T114&lt; 13, "weak",T114&lt; 17, "moderate", TRUE, "strong")</f>
        <v>strong</v>
      </c>
      <c r="AK114">
        <v>3</v>
      </c>
      <c r="AL114" s="8">
        <v>0</v>
      </c>
      <c r="AM114" s="8">
        <v>0</v>
      </c>
    </row>
    <row r="115" spans="1:39" x14ac:dyDescent="0.25">
      <c r="A115" s="9">
        <v>240</v>
      </c>
      <c r="B115" s="2" t="s">
        <v>105</v>
      </c>
      <c r="C115" s="3" t="s">
        <v>4</v>
      </c>
      <c r="E115" s="1">
        <v>45</v>
      </c>
      <c r="F115" s="1">
        <v>75</v>
      </c>
      <c r="G115" s="1">
        <v>37</v>
      </c>
      <c r="H115" s="1">
        <v>70</v>
      </c>
      <c r="I115" s="1">
        <v>55</v>
      </c>
      <c r="J115" s="1">
        <v>83</v>
      </c>
      <c r="K115" s="1" t="s">
        <v>400</v>
      </c>
      <c r="L115" s="1" t="s">
        <v>304</v>
      </c>
      <c r="M115" s="1" t="s">
        <v>302</v>
      </c>
      <c r="N115" s="9">
        <f t="shared" si="64"/>
        <v>7.7700000000000005</v>
      </c>
      <c r="O115" s="9">
        <f t="shared" si="65"/>
        <v>4.5600000000000005</v>
      </c>
      <c r="P115" s="9">
        <v>0</v>
      </c>
      <c r="Q115" s="9">
        <v>0</v>
      </c>
      <c r="R115" s="12">
        <f t="shared" si="66"/>
        <v>8</v>
      </c>
      <c r="S115" s="12">
        <f t="shared" si="67"/>
        <v>5</v>
      </c>
      <c r="T115" s="12">
        <f t="shared" si="68"/>
        <v>13</v>
      </c>
      <c r="U115" s="1" t="str">
        <f t="shared" si="62"/>
        <v>fire</v>
      </c>
      <c r="V115" s="1" t="s">
        <v>13</v>
      </c>
      <c r="W115" s="1" t="s">
        <v>8</v>
      </c>
      <c r="X115" s="1" t="s">
        <v>11</v>
      </c>
      <c r="Y115" s="1" t="str">
        <f>B116</f>
        <v>Magmar</v>
      </c>
      <c r="Z115" s="12">
        <f t="shared" si="63"/>
        <v>6</v>
      </c>
      <c r="AA115" t="str">
        <f t="shared" ref="AA115:AA191" si="70">B115</f>
        <v>Magby</v>
      </c>
      <c r="AB115" s="2"/>
      <c r="AC115" t="s">
        <v>884</v>
      </c>
      <c r="AD115" s="8" t="str">
        <f>VLOOKUP(AC115,moves!A:B,2,FALSE)</f>
        <v>fire</v>
      </c>
      <c r="AE115" s="8">
        <f>VLOOKUP(AC115,moves!A:D,4,FALSE)</f>
        <v>3</v>
      </c>
      <c r="AF115" s="8" t="str">
        <f>VLOOKUP(AC115,moves!A:E,5,FALSE)</f>
        <v>When the user and target are next attacked, replace a regular hit with a status symbol.</v>
      </c>
      <c r="AG115" s="6">
        <v>0</v>
      </c>
      <c r="AH115" s="6">
        <v>0</v>
      </c>
      <c r="AI115" s="8" t="str" cm="1">
        <f t="array" ref="AI115">_xlfn.IFS(AG115=1, "starter", AH115=1, "legendary",T115&lt; 13, "weak",T115&lt; 17, "moderate", TRUE, "strong")</f>
        <v>moderate</v>
      </c>
      <c r="AK115">
        <v>1</v>
      </c>
      <c r="AL115" s="8">
        <v>0</v>
      </c>
      <c r="AM115" s="8">
        <v>0</v>
      </c>
    </row>
    <row r="116" spans="1:39" x14ac:dyDescent="0.25">
      <c r="A116" s="9">
        <v>126</v>
      </c>
      <c r="B116" s="2" t="s">
        <v>55</v>
      </c>
      <c r="C116" s="3" t="s">
        <v>4</v>
      </c>
      <c r="E116" s="1">
        <v>65</v>
      </c>
      <c r="F116" s="1">
        <v>95</v>
      </c>
      <c r="G116" s="1">
        <v>57</v>
      </c>
      <c r="H116" s="1">
        <v>100</v>
      </c>
      <c r="I116" s="1">
        <v>85</v>
      </c>
      <c r="J116" s="1">
        <v>93</v>
      </c>
      <c r="K116" s="1" t="s">
        <v>401</v>
      </c>
      <c r="L116" s="1" t="s">
        <v>304</v>
      </c>
      <c r="M116" s="1" t="s">
        <v>302</v>
      </c>
      <c r="N116" s="9">
        <f t="shared" si="64"/>
        <v>9.67</v>
      </c>
      <c r="O116" s="9">
        <f t="shared" si="65"/>
        <v>6.8599999999999994</v>
      </c>
      <c r="P116" s="9">
        <v>0</v>
      </c>
      <c r="Q116" s="9">
        <v>0</v>
      </c>
      <c r="R116" s="12">
        <f t="shared" si="66"/>
        <v>10</v>
      </c>
      <c r="S116" s="12">
        <f t="shared" si="67"/>
        <v>7</v>
      </c>
      <c r="T116" s="12">
        <f t="shared" si="68"/>
        <v>17</v>
      </c>
      <c r="U116" s="1" t="str">
        <f t="shared" si="62"/>
        <v>fire</v>
      </c>
      <c r="V116" s="1" t="s">
        <v>13</v>
      </c>
      <c r="W116" s="1" t="s">
        <v>8</v>
      </c>
      <c r="X116" s="1" t="s">
        <v>11</v>
      </c>
      <c r="Y116" s="1" t="str">
        <f>B117</f>
        <v>Magmortar</v>
      </c>
      <c r="Z116" s="12">
        <f t="shared" si="63"/>
        <v>4</v>
      </c>
      <c r="AA116" t="str">
        <f t="shared" si="70"/>
        <v>Magmar</v>
      </c>
      <c r="AB116" s="2"/>
      <c r="AC116" t="s">
        <v>483</v>
      </c>
      <c r="AD116" s="8" t="str">
        <f>VLOOKUP(AC116,moves!A:B,2,FALSE)</f>
        <v>fire</v>
      </c>
      <c r="AE116" s="8">
        <f>VLOOKUP(AC116,moves!A:D,4,FALSE)</f>
        <v>4</v>
      </c>
      <c r="AF116" s="8" t="str">
        <f>VLOOKUP(AC116,moves!A:E,5,FALSE)</f>
        <v>If a status symbol is rolled: Inflict the Burned status on the target.</v>
      </c>
      <c r="AG116" s="6">
        <v>0</v>
      </c>
      <c r="AH116" s="6">
        <v>0</v>
      </c>
      <c r="AI116" s="8" t="str" cm="1">
        <f t="array" ref="AI116">_xlfn.IFS(AG116=1, "starter", AH116=1, "legendary",T116&lt; 13, "weak",T116&lt; 17, "moderate", TRUE, "strong")</f>
        <v>strong</v>
      </c>
      <c r="AK116">
        <v>2</v>
      </c>
      <c r="AL116" s="8">
        <v>0</v>
      </c>
      <c r="AM116" s="8">
        <v>0</v>
      </c>
    </row>
    <row r="117" spans="1:39" x14ac:dyDescent="0.25">
      <c r="A117" s="9">
        <v>467</v>
      </c>
      <c r="B117" s="2" t="s">
        <v>221</v>
      </c>
      <c r="C117" s="3" t="s">
        <v>4</v>
      </c>
      <c r="E117" s="1">
        <v>75</v>
      </c>
      <c r="F117" s="1">
        <v>95</v>
      </c>
      <c r="G117" s="1">
        <v>67</v>
      </c>
      <c r="H117" s="1">
        <v>125</v>
      </c>
      <c r="I117" s="1">
        <v>95</v>
      </c>
      <c r="J117" s="1">
        <v>83</v>
      </c>
      <c r="K117" s="1" t="s">
        <v>402</v>
      </c>
      <c r="L117" s="1" t="s">
        <v>304</v>
      </c>
      <c r="M117" s="1" t="s">
        <v>302</v>
      </c>
      <c r="N117" s="9">
        <f t="shared" si="64"/>
        <v>10.52</v>
      </c>
      <c r="O117" s="9">
        <f t="shared" si="65"/>
        <v>7.8599999999999994</v>
      </c>
      <c r="P117" s="9">
        <v>0</v>
      </c>
      <c r="Q117" s="9">
        <v>0</v>
      </c>
      <c r="R117" s="12">
        <f t="shared" si="66"/>
        <v>11</v>
      </c>
      <c r="S117" s="12">
        <f t="shared" si="67"/>
        <v>8</v>
      </c>
      <c r="T117" s="12">
        <f t="shared" si="68"/>
        <v>19</v>
      </c>
      <c r="U117" s="1" t="str">
        <f t="shared" si="62"/>
        <v>fire</v>
      </c>
      <c r="V117" s="1" t="s">
        <v>13</v>
      </c>
      <c r="W117" s="1" t="s">
        <v>8</v>
      </c>
      <c r="X117" s="1" t="s">
        <v>11</v>
      </c>
      <c r="Z117" s="12" t="str">
        <f t="shared" si="63"/>
        <v/>
      </c>
      <c r="AA117" t="str">
        <f t="shared" si="70"/>
        <v>Magmortar</v>
      </c>
      <c r="AB117" s="2"/>
      <c r="AC117" t="s">
        <v>886</v>
      </c>
      <c r="AD117" s="8" t="str">
        <f>VLOOKUP(AC117,moves!A:B,2,FALSE)</f>
        <v>fire</v>
      </c>
      <c r="AE117" s="8">
        <f>VLOOKUP(AC117,moves!A:D,4,FALSE)</f>
        <v>4</v>
      </c>
      <c r="AF117" s="8" t="str">
        <f>VLOOKUP(AC117,moves!A:E,5,FALSE)</f>
        <v>If the user knows another Fire-type move, deal 2 extra damage.</v>
      </c>
      <c r="AG117" s="6">
        <v>0</v>
      </c>
      <c r="AH117" s="6">
        <v>0</v>
      </c>
      <c r="AI117" s="8" t="str" cm="1">
        <f t="array" ref="AI117">_xlfn.IFS(AG117=1, "starter", AH117=1, "legendary",T117&lt; 13, "weak",T117&lt; 17, "moderate", TRUE, "strong")</f>
        <v>strong</v>
      </c>
      <c r="AK117">
        <v>3</v>
      </c>
      <c r="AL117" s="8">
        <v>0</v>
      </c>
      <c r="AM117" s="8">
        <v>0</v>
      </c>
    </row>
    <row r="118" spans="1:39" x14ac:dyDescent="0.25">
      <c r="A118" s="9">
        <v>175</v>
      </c>
      <c r="B118" s="2" t="s">
        <v>73</v>
      </c>
      <c r="C118" s="3" t="s">
        <v>16</v>
      </c>
      <c r="E118" s="1">
        <v>35</v>
      </c>
      <c r="F118" s="1">
        <v>20</v>
      </c>
      <c r="G118" s="1">
        <v>65</v>
      </c>
      <c r="H118" s="1">
        <v>40</v>
      </c>
      <c r="I118" s="1">
        <v>65</v>
      </c>
      <c r="J118" s="1">
        <v>20</v>
      </c>
      <c r="K118" s="1" t="s">
        <v>403</v>
      </c>
      <c r="L118" s="1" t="s">
        <v>301</v>
      </c>
      <c r="M118" s="1" t="s">
        <v>302</v>
      </c>
      <c r="N118" s="9">
        <f t="shared" si="64"/>
        <v>3</v>
      </c>
      <c r="O118" s="9">
        <f t="shared" si="65"/>
        <v>5.3</v>
      </c>
      <c r="P118" s="9">
        <v>1</v>
      </c>
      <c r="Q118" s="9">
        <v>1</v>
      </c>
      <c r="R118" s="12">
        <f t="shared" si="66"/>
        <v>4</v>
      </c>
      <c r="S118" s="12">
        <f t="shared" si="67"/>
        <v>6</v>
      </c>
      <c r="T118" s="12">
        <f t="shared" si="68"/>
        <v>10</v>
      </c>
      <c r="U118" s="1" t="str">
        <f t="shared" si="62"/>
        <v>fairy</v>
      </c>
      <c r="V118" s="1" t="s">
        <v>5</v>
      </c>
      <c r="W118" s="1" t="s">
        <v>8</v>
      </c>
      <c r="X118" s="1" t="s">
        <v>22</v>
      </c>
      <c r="Y118" s="1" t="str">
        <f>B119</f>
        <v>Togetic</v>
      </c>
      <c r="Z118" s="12">
        <f t="shared" si="63"/>
        <v>4</v>
      </c>
      <c r="AA118" t="str">
        <f t="shared" si="70"/>
        <v>Togepi</v>
      </c>
      <c r="AB118" s="2"/>
      <c r="AC118" s="8" t="s">
        <v>1245</v>
      </c>
      <c r="AD118" s="8" t="str">
        <f>VLOOKUP(AC118,moves!A:B,2,FALSE)</f>
        <v>normal</v>
      </c>
      <c r="AE118" s="8">
        <f>VLOOKUP(AC118,moves!A:D,4,FALSE)</f>
        <v>2</v>
      </c>
      <c r="AF118" s="8" t="str">
        <f>VLOOKUP(AC118,moves!A:E,5,FALSE)</f>
        <v>Inflict the Drowsy status on the target.</v>
      </c>
      <c r="AG118" s="6">
        <v>1</v>
      </c>
      <c r="AH118" s="6">
        <v>0</v>
      </c>
      <c r="AI118" s="8" t="str" cm="1">
        <f t="array" ref="AI118">_xlfn.IFS(AG118=1, "starter", AH118=1, "legendary",T118&lt; 13, "weak",T118&lt; 17, "moderate", TRUE, "strong")</f>
        <v>starter</v>
      </c>
      <c r="AK118">
        <v>1</v>
      </c>
      <c r="AL118" s="8">
        <v>0</v>
      </c>
      <c r="AM118" s="8">
        <v>0</v>
      </c>
    </row>
    <row r="119" spans="1:39" x14ac:dyDescent="0.25">
      <c r="A119" s="9">
        <v>176</v>
      </c>
      <c r="B119" s="2" t="s">
        <v>74</v>
      </c>
      <c r="C119" s="3" t="s">
        <v>16</v>
      </c>
      <c r="D119" s="3" t="s">
        <v>5</v>
      </c>
      <c r="E119" s="1">
        <v>55</v>
      </c>
      <c r="F119" s="1">
        <v>40</v>
      </c>
      <c r="G119" s="1">
        <v>85</v>
      </c>
      <c r="H119" s="1">
        <v>80</v>
      </c>
      <c r="I119" s="1">
        <v>105</v>
      </c>
      <c r="J119" s="1">
        <v>40</v>
      </c>
      <c r="K119" s="1" t="s">
        <v>371</v>
      </c>
      <c r="L119" s="1" t="s">
        <v>301</v>
      </c>
      <c r="M119" s="1" t="s">
        <v>302</v>
      </c>
      <c r="N119" s="9">
        <f t="shared" si="64"/>
        <v>6</v>
      </c>
      <c r="O119" s="9">
        <f t="shared" si="65"/>
        <v>7.9</v>
      </c>
      <c r="P119" s="9">
        <v>0</v>
      </c>
      <c r="Q119" s="9">
        <v>0</v>
      </c>
      <c r="R119" s="12">
        <f t="shared" si="66"/>
        <v>6</v>
      </c>
      <c r="S119" s="12">
        <f t="shared" si="67"/>
        <v>8</v>
      </c>
      <c r="T119" s="12">
        <f t="shared" si="68"/>
        <v>14</v>
      </c>
      <c r="U119" s="1" t="str">
        <f t="shared" si="62"/>
        <v>fairy</v>
      </c>
      <c r="V119" s="1" t="str">
        <f>IF(D119 = 0, "", D119)</f>
        <v>flying</v>
      </c>
      <c r="W119" s="1" t="s">
        <v>8</v>
      </c>
      <c r="X119" s="1" t="s">
        <v>22</v>
      </c>
      <c r="Y119" s="1" t="str">
        <f>B120</f>
        <v>Togekiss</v>
      </c>
      <c r="Z119" s="12">
        <f t="shared" si="63"/>
        <v>9</v>
      </c>
      <c r="AA119" t="str">
        <f t="shared" si="70"/>
        <v>Togetic</v>
      </c>
      <c r="AB119" s="2"/>
      <c r="AC119" t="s">
        <v>751</v>
      </c>
      <c r="AD119" s="8" t="str">
        <f>VLOOKUP(AC119,moves!A:B,2,FALSE)</f>
        <v>fairy</v>
      </c>
      <c r="AE119" s="8">
        <f>VLOOKUP(AC119,moves!A:D,4,FALSE)</f>
        <v>4</v>
      </c>
      <c r="AF119" s="8" t="str">
        <f>VLOOKUP(AC119,moves!A:E,5,FALSE)</f>
        <v>When the target next attacks, status symbols deal -1 damage.</v>
      </c>
      <c r="AG119" s="6">
        <v>0</v>
      </c>
      <c r="AH119" s="6">
        <v>0</v>
      </c>
      <c r="AI119" s="8" t="str" cm="1">
        <f t="array" ref="AI119">_xlfn.IFS(AG119=1, "starter", AH119=1, "legendary",T119&lt; 13, "weak",T119&lt; 17, "moderate", TRUE, "strong")</f>
        <v>moderate</v>
      </c>
      <c r="AK119">
        <v>2</v>
      </c>
      <c r="AL119" s="8">
        <v>0</v>
      </c>
      <c r="AM119" s="8">
        <v>0</v>
      </c>
    </row>
    <row r="120" spans="1:39" x14ac:dyDescent="0.25">
      <c r="A120" s="9">
        <v>468</v>
      </c>
      <c r="B120" s="2" t="s">
        <v>222</v>
      </c>
      <c r="C120" s="3" t="s">
        <v>16</v>
      </c>
      <c r="D120" s="3" t="s">
        <v>5</v>
      </c>
      <c r="E120" s="1">
        <v>85</v>
      </c>
      <c r="F120" s="1">
        <v>50</v>
      </c>
      <c r="G120" s="1">
        <v>95</v>
      </c>
      <c r="H120" s="1">
        <v>120</v>
      </c>
      <c r="I120" s="1">
        <v>115</v>
      </c>
      <c r="J120" s="1">
        <v>80</v>
      </c>
      <c r="K120" s="1" t="s">
        <v>404</v>
      </c>
      <c r="L120" s="1" t="s">
        <v>301</v>
      </c>
      <c r="M120" s="1" t="s">
        <v>302</v>
      </c>
      <c r="N120" s="9">
        <f t="shared" si="64"/>
        <v>9.6999999999999993</v>
      </c>
      <c r="O120" s="9">
        <f t="shared" si="65"/>
        <v>9.6999999999999993</v>
      </c>
      <c r="P120" s="9">
        <v>0</v>
      </c>
      <c r="Q120" s="9">
        <v>0</v>
      </c>
      <c r="R120" s="12">
        <f t="shared" si="66"/>
        <v>10</v>
      </c>
      <c r="S120" s="12">
        <f t="shared" si="67"/>
        <v>10</v>
      </c>
      <c r="T120" s="12">
        <f t="shared" si="68"/>
        <v>20</v>
      </c>
      <c r="U120" s="1" t="str">
        <f t="shared" si="62"/>
        <v>fairy</v>
      </c>
      <c r="V120" s="1" t="str">
        <f>IF(D120 = 0, "", D120)</f>
        <v>flying</v>
      </c>
      <c r="W120" s="1" t="s">
        <v>8</v>
      </c>
      <c r="X120" s="1" t="s">
        <v>22</v>
      </c>
      <c r="Z120" s="12" t="str">
        <f>IF(ISBLANK(Y120), "", ROUND(( (T122-6)*(T122-7) - (T120-6)*(T120-7) )/15, 0) + 1)</f>
        <v/>
      </c>
      <c r="AA120" t="str">
        <f t="shared" si="70"/>
        <v>Togekiss</v>
      </c>
      <c r="AB120" s="2"/>
      <c r="AC120" t="s">
        <v>518</v>
      </c>
      <c r="AD120" s="8" t="str">
        <f>VLOOKUP(AC120,moves!A:B,2,FALSE)</f>
        <v>flying</v>
      </c>
      <c r="AE120" s="8">
        <f>VLOOKUP(AC120,moves!A:D,4,FALSE)</f>
        <v>4</v>
      </c>
      <c r="AF120" s="8" t="str">
        <f>VLOOKUP(AC120,moves!A:E,5,FALSE)</f>
        <v>Critical hits deal +1 damage.</v>
      </c>
      <c r="AG120" s="6">
        <v>0</v>
      </c>
      <c r="AH120" s="6">
        <v>0</v>
      </c>
      <c r="AI120" s="8" t="str" cm="1">
        <f t="array" ref="AI120">_xlfn.IFS(AG120=1, "starter", AH120=1, "legendary",T120&lt; 13, "weak",T120&lt; 17, "moderate", TRUE, "strong")</f>
        <v>strong</v>
      </c>
      <c r="AK120">
        <v>3</v>
      </c>
      <c r="AL120" s="8">
        <v>0</v>
      </c>
      <c r="AM120" s="8">
        <v>1</v>
      </c>
    </row>
    <row r="121" spans="1:39" s="8" customFormat="1" x14ac:dyDescent="0.25">
      <c r="A121" s="9" t="s">
        <v>1299</v>
      </c>
      <c r="B121" s="10" t="s">
        <v>222</v>
      </c>
      <c r="C121" s="3" t="s">
        <v>16</v>
      </c>
      <c r="D121" s="3" t="s">
        <v>5</v>
      </c>
      <c r="E121" s="9">
        <v>85</v>
      </c>
      <c r="F121" s="9">
        <v>50</v>
      </c>
      <c r="G121" s="9">
        <v>95</v>
      </c>
      <c r="H121" s="9">
        <v>120</v>
      </c>
      <c r="I121" s="9">
        <v>115</v>
      </c>
      <c r="J121" s="9">
        <v>80</v>
      </c>
      <c r="K121" s="9" t="s">
        <v>404</v>
      </c>
      <c r="L121" s="9" t="s">
        <v>301</v>
      </c>
      <c r="M121" s="9" t="s">
        <v>302</v>
      </c>
      <c r="N121" s="9">
        <f t="shared" ref="N121" si="71">(0.4*J121 + 0.5*MAX(F121,H121) + 0.1*MIN(F121,H121)) / 10</f>
        <v>9.6999999999999993</v>
      </c>
      <c r="O121" s="9">
        <f t="shared" ref="O121" si="72">(0.4*E121 + 0.3*G121 + 0.3*I121) / 10</f>
        <v>9.6999999999999993</v>
      </c>
      <c r="P121" s="9">
        <v>1</v>
      </c>
      <c r="Q121" s="9">
        <v>2</v>
      </c>
      <c r="R121" s="12">
        <f t="shared" ref="R121" si="73">ROUND(N121,0)+P121</f>
        <v>11</v>
      </c>
      <c r="S121" s="12">
        <f t="shared" ref="S121" si="74">ROUND(O121,0)+Q121</f>
        <v>12</v>
      </c>
      <c r="T121" s="12">
        <f t="shared" ref="T121" si="75">SUM(ROUND(R121,0),ROUND(S121,0))</f>
        <v>23</v>
      </c>
      <c r="U121" s="9" t="str">
        <f t="shared" ref="U121" si="76">C121</f>
        <v>fairy</v>
      </c>
      <c r="V121" s="9" t="str">
        <f>IF(D121 = 0, "", D121)</f>
        <v>flying</v>
      </c>
      <c r="W121" s="9" t="s">
        <v>8</v>
      </c>
      <c r="X121" s="9" t="s">
        <v>22</v>
      </c>
      <c r="Y121" s="9"/>
      <c r="Z121" s="12" t="str">
        <f>IF(ISBLANK(Y121), "", ROUND(( (T123-6)*(T123-7) - (T121-6)*(T121-7) )/15, 0) + 1)</f>
        <v/>
      </c>
      <c r="AA121" s="8" t="str">
        <f t="shared" ref="AA121" si="77">B121</f>
        <v>Togekiss</v>
      </c>
      <c r="AB121" s="10" t="s">
        <v>1338</v>
      </c>
      <c r="AC121" s="8" t="s">
        <v>518</v>
      </c>
      <c r="AD121" s="8" t="str">
        <f>VLOOKUP(AC121,moves!A:B,2,FALSE)</f>
        <v>flying</v>
      </c>
      <c r="AE121" s="8">
        <f>VLOOKUP(AC121,moves!A:D,4,FALSE)</f>
        <v>4</v>
      </c>
      <c r="AF121" s="8" t="str">
        <f>VLOOKUP(AC121,moves!A:E,5,FALSE)</f>
        <v>Critical hits deal +1 damage.</v>
      </c>
      <c r="AG121" s="11">
        <v>0</v>
      </c>
      <c r="AH121" s="11">
        <v>1</v>
      </c>
      <c r="AI121" s="8" t="str" cm="1">
        <f t="array" ref="AI121">_xlfn.IFS(AG121=1, "starter", AH121=1, "legendary",T121&lt; 13, "weak",T121&lt; 17, "moderate", TRUE, "strong")</f>
        <v>legendary</v>
      </c>
      <c r="AK121" s="8">
        <v>3</v>
      </c>
      <c r="AL121" s="8">
        <v>0</v>
      </c>
      <c r="AM121" s="8">
        <v>2</v>
      </c>
    </row>
    <row r="122" spans="1:39" x14ac:dyDescent="0.25">
      <c r="A122" s="9">
        <v>193</v>
      </c>
      <c r="B122" s="2" t="s">
        <v>79</v>
      </c>
      <c r="C122" s="3" t="s">
        <v>7</v>
      </c>
      <c r="D122" s="3" t="s">
        <v>5</v>
      </c>
      <c r="E122" s="1">
        <v>65</v>
      </c>
      <c r="F122" s="1">
        <v>65</v>
      </c>
      <c r="G122" s="1">
        <v>45</v>
      </c>
      <c r="H122" s="1">
        <v>75</v>
      </c>
      <c r="I122" s="1">
        <v>45</v>
      </c>
      <c r="J122" s="1">
        <v>95</v>
      </c>
      <c r="K122" s="1" t="s">
        <v>405</v>
      </c>
      <c r="L122" s="1" t="s">
        <v>298</v>
      </c>
      <c r="M122" s="1" t="s">
        <v>302</v>
      </c>
      <c r="N122" s="9">
        <f t="shared" si="64"/>
        <v>8.1999999999999993</v>
      </c>
      <c r="O122" s="9">
        <f t="shared" si="65"/>
        <v>5.3</v>
      </c>
      <c r="P122" s="9">
        <v>0</v>
      </c>
      <c r="Q122" s="9">
        <v>0</v>
      </c>
      <c r="R122" s="12">
        <f t="shared" si="66"/>
        <v>8</v>
      </c>
      <c r="S122" s="12">
        <f t="shared" si="67"/>
        <v>5</v>
      </c>
      <c r="T122" s="12">
        <f t="shared" si="68"/>
        <v>13</v>
      </c>
      <c r="U122" s="1" t="str">
        <f t="shared" si="62"/>
        <v>bug</v>
      </c>
      <c r="V122" s="1" t="str">
        <f>IF(D122 = 0, "", D122)</f>
        <v>flying</v>
      </c>
      <c r="W122" s="1" t="s">
        <v>33</v>
      </c>
      <c r="X122" s="1" t="s">
        <v>9</v>
      </c>
      <c r="Y122" s="1" t="str">
        <f>B123</f>
        <v>Yanmega</v>
      </c>
      <c r="Z122" s="12">
        <f t="shared" si="63"/>
        <v>7</v>
      </c>
      <c r="AA122" t="str">
        <f t="shared" si="70"/>
        <v>Yanma</v>
      </c>
      <c r="AB122" s="2"/>
      <c r="AC122" t="s">
        <v>537</v>
      </c>
      <c r="AD122" s="8" t="str">
        <f>VLOOKUP(AC122,moves!A:B,2,FALSE)</f>
        <v>rock</v>
      </c>
      <c r="AE122" s="8">
        <f>VLOOKUP(AC122,moves!A:D,4,FALSE)</f>
        <v>3</v>
      </c>
      <c r="AF122" s="8" t="str">
        <f>VLOOKUP(AC122,moves!A:E,5,FALSE)</f>
        <v>Add any critical hits or status symbols rolled on this attack to the next attack roll of the user.</v>
      </c>
      <c r="AG122" s="6">
        <v>0</v>
      </c>
      <c r="AH122" s="6">
        <v>0</v>
      </c>
      <c r="AI122" s="8" t="str" cm="1">
        <f t="array" ref="AI122">_xlfn.IFS(AG122=1, "starter", AH122=1, "legendary",T122&lt; 13, "weak",T122&lt; 17, "moderate", TRUE, "strong")</f>
        <v>moderate</v>
      </c>
      <c r="AK122">
        <v>1</v>
      </c>
      <c r="AL122" s="8">
        <v>0</v>
      </c>
      <c r="AM122" s="8">
        <v>0</v>
      </c>
    </row>
    <row r="123" spans="1:39" x14ac:dyDescent="0.25">
      <c r="A123" s="9">
        <v>469</v>
      </c>
      <c r="B123" s="2" t="s">
        <v>223</v>
      </c>
      <c r="C123" s="3" t="s">
        <v>7</v>
      </c>
      <c r="D123" s="3" t="s">
        <v>5</v>
      </c>
      <c r="E123" s="1">
        <v>86</v>
      </c>
      <c r="F123" s="1">
        <v>76</v>
      </c>
      <c r="G123" s="1">
        <v>86</v>
      </c>
      <c r="H123" s="1">
        <v>116</v>
      </c>
      <c r="I123" s="1">
        <v>56</v>
      </c>
      <c r="J123" s="1">
        <v>95</v>
      </c>
      <c r="K123" s="1" t="s">
        <v>406</v>
      </c>
      <c r="L123" s="1" t="s">
        <v>298</v>
      </c>
      <c r="M123" s="1" t="s">
        <v>302</v>
      </c>
      <c r="N123" s="9">
        <f t="shared" si="64"/>
        <v>10.36</v>
      </c>
      <c r="O123" s="9">
        <f t="shared" si="65"/>
        <v>7.7</v>
      </c>
      <c r="P123" s="9">
        <v>0</v>
      </c>
      <c r="Q123" s="9">
        <v>0</v>
      </c>
      <c r="R123" s="12">
        <f t="shared" si="66"/>
        <v>10</v>
      </c>
      <c r="S123" s="12">
        <f t="shared" si="67"/>
        <v>8</v>
      </c>
      <c r="T123" s="12">
        <f t="shared" si="68"/>
        <v>18</v>
      </c>
      <c r="U123" s="1" t="str">
        <f t="shared" si="62"/>
        <v>bug</v>
      </c>
      <c r="V123" s="1" t="str">
        <f>IF(D123 = 0, "", D123)</f>
        <v>flying</v>
      </c>
      <c r="W123" s="1" t="s">
        <v>33</v>
      </c>
      <c r="X123" s="1" t="s">
        <v>9</v>
      </c>
      <c r="Z123" s="12" t="str">
        <f t="shared" si="63"/>
        <v/>
      </c>
      <c r="AA123" t="str">
        <f t="shared" si="70"/>
        <v>Yanmega</v>
      </c>
      <c r="AB123" s="2"/>
      <c r="AC123" t="s">
        <v>615</v>
      </c>
      <c r="AD123" s="8" t="str">
        <f>VLOOKUP(AC123,moves!A:B,2,FALSE)</f>
        <v>bug</v>
      </c>
      <c r="AE123" s="8">
        <f>VLOOKUP(AC123,moves!A:D,4,FALSE)</f>
        <v>4</v>
      </c>
      <c r="AF123" s="8" t="str">
        <f>VLOOKUP(AC123,moves!A:E,5,FALSE)</f>
        <v>If a status symbol is rolled: Inflict the Paralysed status on the target.</v>
      </c>
      <c r="AG123" s="6">
        <v>0</v>
      </c>
      <c r="AH123" s="6">
        <v>0</v>
      </c>
      <c r="AI123" s="8" t="str" cm="1">
        <f t="array" ref="AI123">_xlfn.IFS(AG123=1, "starter", AH123=1, "legendary",T123&lt; 13, "weak",T123&lt; 17, "moderate", TRUE, "strong")</f>
        <v>strong</v>
      </c>
      <c r="AK123">
        <v>2</v>
      </c>
      <c r="AL123" s="8">
        <v>0</v>
      </c>
      <c r="AM123" s="8">
        <v>0</v>
      </c>
    </row>
    <row r="124" spans="1:39" x14ac:dyDescent="0.25">
      <c r="A124" s="9">
        <v>133</v>
      </c>
      <c r="B124" s="2" t="s">
        <v>58</v>
      </c>
      <c r="C124" s="3" t="s">
        <v>8</v>
      </c>
      <c r="E124" s="1">
        <v>55</v>
      </c>
      <c r="F124" s="1">
        <v>55</v>
      </c>
      <c r="G124" s="1">
        <v>50</v>
      </c>
      <c r="H124" s="1">
        <v>45</v>
      </c>
      <c r="I124" s="1">
        <v>65</v>
      </c>
      <c r="J124" s="1">
        <v>55</v>
      </c>
      <c r="K124" s="1" t="s">
        <v>407</v>
      </c>
      <c r="L124" s="1" t="s">
        <v>301</v>
      </c>
      <c r="M124" s="1" t="s">
        <v>300</v>
      </c>
      <c r="N124" s="9">
        <f t="shared" si="64"/>
        <v>5.4</v>
      </c>
      <c r="O124" s="9">
        <f t="shared" si="65"/>
        <v>5.65</v>
      </c>
      <c r="P124" s="9">
        <v>0</v>
      </c>
      <c r="Q124" s="9">
        <v>0</v>
      </c>
      <c r="R124" s="12">
        <f t="shared" si="66"/>
        <v>5</v>
      </c>
      <c r="S124" s="12">
        <f t="shared" si="67"/>
        <v>6</v>
      </c>
      <c r="T124" s="12">
        <f t="shared" si="68"/>
        <v>11</v>
      </c>
      <c r="U124" s="1" t="str">
        <f t="shared" si="62"/>
        <v>normal</v>
      </c>
      <c r="V124" s="1" t="s">
        <v>9</v>
      </c>
      <c r="W124" s="1" t="s">
        <v>16</v>
      </c>
      <c r="X124" s="1" t="s">
        <v>13</v>
      </c>
      <c r="Y124" s="1" t="s">
        <v>674</v>
      </c>
      <c r="Z124" s="12">
        <f t="shared" si="63"/>
        <v>8</v>
      </c>
      <c r="AA124" t="str">
        <f t="shared" si="70"/>
        <v>Eevee</v>
      </c>
      <c r="AB124" s="2"/>
      <c r="AC124" t="s">
        <v>772</v>
      </c>
      <c r="AD124" s="8" t="str">
        <f>VLOOKUP(AC124,moves!A:B,2,FALSE)</f>
        <v>normal</v>
      </c>
      <c r="AE124" s="8">
        <f>VLOOKUP(AC124,moves!A:D,4,FALSE)</f>
        <v>2</v>
      </c>
      <c r="AF124" s="8" t="str">
        <f>VLOOKUP(AC124,moves!A:E,5,FALSE)</f>
        <v>Effect may be used once until the user switches out: Use another move this turn.</v>
      </c>
      <c r="AG124" s="6">
        <v>0</v>
      </c>
      <c r="AH124" s="6">
        <v>0</v>
      </c>
      <c r="AI124" s="8" t="str" cm="1">
        <f t="array" ref="AI124">_xlfn.IFS(AG124=1, "starter", AH124=1, "legendary",T124&lt; 13, "weak",T124&lt; 17, "moderate", TRUE, "strong")</f>
        <v>weak</v>
      </c>
      <c r="AK124">
        <v>1</v>
      </c>
      <c r="AL124" s="8">
        <v>0</v>
      </c>
      <c r="AM124" s="8">
        <v>0</v>
      </c>
    </row>
    <row r="125" spans="1:39" x14ac:dyDescent="0.25">
      <c r="A125" s="9">
        <v>134</v>
      </c>
      <c r="B125" s="2" t="s">
        <v>59</v>
      </c>
      <c r="C125" s="3" t="s">
        <v>6</v>
      </c>
      <c r="E125" s="1">
        <v>130</v>
      </c>
      <c r="F125" s="1">
        <v>65</v>
      </c>
      <c r="G125" s="1">
        <v>60</v>
      </c>
      <c r="H125" s="1">
        <v>110</v>
      </c>
      <c r="I125" s="1">
        <v>95</v>
      </c>
      <c r="J125" s="1">
        <v>65</v>
      </c>
      <c r="K125" s="1" t="s">
        <v>408</v>
      </c>
      <c r="L125" s="1" t="s">
        <v>303</v>
      </c>
      <c r="M125" s="1" t="s">
        <v>302</v>
      </c>
      <c r="N125" s="9">
        <f t="shared" si="64"/>
        <v>8.75</v>
      </c>
      <c r="O125" s="9">
        <f t="shared" si="65"/>
        <v>9.85</v>
      </c>
      <c r="P125" s="9">
        <v>0</v>
      </c>
      <c r="Q125" s="9">
        <v>-1</v>
      </c>
      <c r="R125" s="12">
        <f t="shared" si="66"/>
        <v>9</v>
      </c>
      <c r="S125" s="12">
        <f t="shared" si="67"/>
        <v>9</v>
      </c>
      <c r="T125" s="12">
        <f t="shared" si="68"/>
        <v>18</v>
      </c>
      <c r="U125" s="1" t="str">
        <f t="shared" si="62"/>
        <v>water</v>
      </c>
      <c r="V125" s="1" t="s">
        <v>8</v>
      </c>
      <c r="W125" s="1" t="s">
        <v>13</v>
      </c>
      <c r="X125" s="1" t="s">
        <v>14</v>
      </c>
      <c r="Z125" s="12" t="str">
        <f t="shared" si="63"/>
        <v/>
      </c>
      <c r="AA125" t="str">
        <f t="shared" si="70"/>
        <v>Vaporeon</v>
      </c>
      <c r="AB125" s="2"/>
      <c r="AC125" t="s">
        <v>482</v>
      </c>
      <c r="AD125" s="8" t="str">
        <f>VLOOKUP(AC125,moves!A:B,2,FALSE)</f>
        <v>water</v>
      </c>
      <c r="AE125" s="8">
        <f>VLOOKUP(AC125,moves!A:D,4,FALSE)</f>
        <v>5</v>
      </c>
      <c r="AF125" s="8" t="str">
        <f>VLOOKUP(AC125,moves!A:E,5,FALSE)</f>
        <v>If 2+ status symbols are rolled: Inflict the Confused status on the target.</v>
      </c>
      <c r="AG125" s="6">
        <v>0</v>
      </c>
      <c r="AH125" s="6">
        <v>0</v>
      </c>
      <c r="AI125" s="8" t="str" cm="1">
        <f t="array" ref="AI125">_xlfn.IFS(AG125=1, "starter", AH125=1, "legendary",T125&lt; 13, "weak",T125&lt; 17, "moderate", TRUE, "strong")</f>
        <v>strong</v>
      </c>
      <c r="AK125">
        <v>2</v>
      </c>
      <c r="AL125" s="8">
        <v>0</v>
      </c>
      <c r="AM125" s="8">
        <v>0</v>
      </c>
    </row>
    <row r="126" spans="1:39" x14ac:dyDescent="0.25">
      <c r="A126" s="9">
        <v>135</v>
      </c>
      <c r="B126" s="2" t="s">
        <v>60</v>
      </c>
      <c r="C126" s="3" t="s">
        <v>11</v>
      </c>
      <c r="E126" s="1">
        <v>65</v>
      </c>
      <c r="F126" s="1">
        <v>65</v>
      </c>
      <c r="G126" s="1">
        <v>60</v>
      </c>
      <c r="H126" s="1">
        <v>110</v>
      </c>
      <c r="I126" s="1">
        <v>95</v>
      </c>
      <c r="J126" s="1">
        <v>130</v>
      </c>
      <c r="K126" s="1" t="s">
        <v>409</v>
      </c>
      <c r="L126" s="1" t="s">
        <v>301</v>
      </c>
      <c r="M126" s="1" t="s">
        <v>302</v>
      </c>
      <c r="N126" s="9">
        <f t="shared" si="64"/>
        <v>11.35</v>
      </c>
      <c r="O126" s="9">
        <f t="shared" si="65"/>
        <v>7.25</v>
      </c>
      <c r="P126" s="9">
        <v>0</v>
      </c>
      <c r="Q126" s="9">
        <v>0</v>
      </c>
      <c r="R126" s="12">
        <f t="shared" si="66"/>
        <v>11</v>
      </c>
      <c r="S126" s="12">
        <f t="shared" si="67"/>
        <v>7</v>
      </c>
      <c r="T126" s="12">
        <f t="shared" si="68"/>
        <v>18</v>
      </c>
      <c r="U126" s="1" t="str">
        <f t="shared" si="62"/>
        <v>electric</v>
      </c>
      <c r="V126" s="1" t="s">
        <v>8</v>
      </c>
      <c r="W126" s="1" t="s">
        <v>13</v>
      </c>
      <c r="X126" s="1" t="s">
        <v>42</v>
      </c>
      <c r="Z126" s="12" t="str">
        <f t="shared" si="63"/>
        <v/>
      </c>
      <c r="AA126" t="str">
        <f t="shared" si="70"/>
        <v>Jolteon</v>
      </c>
      <c r="AB126" s="2"/>
      <c r="AC126" t="s">
        <v>489</v>
      </c>
      <c r="AD126" s="8" t="str">
        <f>VLOOKUP(AC126,moves!A:B,2,FALSE)</f>
        <v>electric</v>
      </c>
      <c r="AE126" s="8">
        <f>VLOOKUP(AC126,moves!A:D,4,FALSE)</f>
        <v>5</v>
      </c>
      <c r="AF126" s="8" t="str">
        <f>VLOOKUP(AC126,moves!A:E,5,FALSE)</f>
        <v>If 2+ status symbols are rolled: Inflict the Paralysed status on the target.</v>
      </c>
      <c r="AG126" s="6">
        <v>0</v>
      </c>
      <c r="AH126" s="6">
        <v>0</v>
      </c>
      <c r="AI126" s="8" t="str" cm="1">
        <f t="array" ref="AI126">_xlfn.IFS(AG126=1, "starter", AH126=1, "legendary",T126&lt; 13, "weak",T126&lt; 17, "moderate", TRUE, "strong")</f>
        <v>strong</v>
      </c>
      <c r="AK126">
        <v>2</v>
      </c>
      <c r="AL126" s="8">
        <v>0</v>
      </c>
      <c r="AM126" s="8">
        <v>0</v>
      </c>
    </row>
    <row r="127" spans="1:39" x14ac:dyDescent="0.25">
      <c r="A127" s="9">
        <v>136</v>
      </c>
      <c r="B127" s="2" t="s">
        <v>61</v>
      </c>
      <c r="C127" s="3" t="s">
        <v>4</v>
      </c>
      <c r="E127" s="1">
        <v>65</v>
      </c>
      <c r="F127" s="1">
        <v>130</v>
      </c>
      <c r="G127" s="1">
        <v>60</v>
      </c>
      <c r="H127" s="1">
        <v>95</v>
      </c>
      <c r="I127" s="1">
        <v>110</v>
      </c>
      <c r="J127" s="1">
        <v>65</v>
      </c>
      <c r="K127" s="1" t="s">
        <v>325</v>
      </c>
      <c r="L127" s="1" t="s">
        <v>298</v>
      </c>
      <c r="M127" s="1" t="s">
        <v>302</v>
      </c>
      <c r="N127" s="9">
        <f t="shared" si="64"/>
        <v>10.050000000000001</v>
      </c>
      <c r="O127" s="9">
        <f t="shared" si="65"/>
        <v>7.7</v>
      </c>
      <c r="P127" s="9">
        <v>0</v>
      </c>
      <c r="Q127" s="9">
        <v>0</v>
      </c>
      <c r="R127" s="12">
        <f t="shared" si="66"/>
        <v>10</v>
      </c>
      <c r="S127" s="12">
        <f t="shared" si="67"/>
        <v>8</v>
      </c>
      <c r="T127" s="12">
        <f t="shared" si="68"/>
        <v>18</v>
      </c>
      <c r="U127" s="1" t="str">
        <f t="shared" si="62"/>
        <v>fire</v>
      </c>
      <c r="V127" s="1" t="s">
        <v>8</v>
      </c>
      <c r="W127" s="1" t="s">
        <v>13</v>
      </c>
      <c r="X127" s="1" t="s">
        <v>22</v>
      </c>
      <c r="Z127" s="12" t="str">
        <f t="shared" si="63"/>
        <v/>
      </c>
      <c r="AA127" t="str">
        <f t="shared" si="70"/>
        <v>Flareon</v>
      </c>
      <c r="AB127" s="2"/>
      <c r="AC127" t="s">
        <v>481</v>
      </c>
      <c r="AD127" s="8" t="str">
        <f>VLOOKUP(AC127,moves!A:B,2,FALSE)</f>
        <v>fire</v>
      </c>
      <c r="AE127" s="8">
        <f>VLOOKUP(AC127,moves!A:D,4,FALSE)</f>
        <v>5</v>
      </c>
      <c r="AF127" s="8" t="str">
        <f>VLOOKUP(AC127,moves!A:E,5,FALSE)</f>
        <v>If 2+ status symbols are rolled: Inflict the Burned status on the target.</v>
      </c>
      <c r="AG127" s="6">
        <v>0</v>
      </c>
      <c r="AH127" s="6">
        <v>0</v>
      </c>
      <c r="AI127" s="8" t="str" cm="1">
        <f t="array" ref="AI127">_xlfn.IFS(AG127=1, "starter", AH127=1, "legendary",T127&lt; 13, "weak",T127&lt; 17, "moderate", TRUE, "strong")</f>
        <v>strong</v>
      </c>
      <c r="AK127">
        <v>2</v>
      </c>
      <c r="AL127" s="8">
        <v>0</v>
      </c>
      <c r="AM127" s="8">
        <v>0</v>
      </c>
    </row>
    <row r="128" spans="1:39" x14ac:dyDescent="0.25">
      <c r="A128" s="9">
        <v>196</v>
      </c>
      <c r="B128" s="2" t="s">
        <v>82</v>
      </c>
      <c r="C128" s="3" t="s">
        <v>26</v>
      </c>
      <c r="E128" s="1">
        <v>65</v>
      </c>
      <c r="F128" s="1">
        <v>65</v>
      </c>
      <c r="G128" s="1">
        <v>60</v>
      </c>
      <c r="H128" s="1">
        <v>130</v>
      </c>
      <c r="I128" s="1">
        <v>95</v>
      </c>
      <c r="J128" s="1">
        <v>110</v>
      </c>
      <c r="K128" s="1" t="s">
        <v>410</v>
      </c>
      <c r="L128" s="1" t="s">
        <v>304</v>
      </c>
      <c r="M128" s="1" t="s">
        <v>302</v>
      </c>
      <c r="N128" s="9">
        <f t="shared" si="64"/>
        <v>11.55</v>
      </c>
      <c r="O128" s="9">
        <f t="shared" si="65"/>
        <v>7.25</v>
      </c>
      <c r="P128" s="9">
        <v>0</v>
      </c>
      <c r="Q128" s="9">
        <v>-1</v>
      </c>
      <c r="R128" s="12">
        <f t="shared" si="66"/>
        <v>12</v>
      </c>
      <c r="S128" s="12">
        <f t="shared" si="67"/>
        <v>6</v>
      </c>
      <c r="T128" s="12">
        <f t="shared" si="68"/>
        <v>18</v>
      </c>
      <c r="U128" s="1" t="str">
        <f t="shared" si="62"/>
        <v>psychic</v>
      </c>
      <c r="V128" s="1" t="s">
        <v>8</v>
      </c>
      <c r="W128" s="1" t="s">
        <v>13</v>
      </c>
      <c r="X128" s="1" t="s">
        <v>16</v>
      </c>
      <c r="Z128" s="12" t="str">
        <f t="shared" si="63"/>
        <v/>
      </c>
      <c r="AA128" t="str">
        <f t="shared" si="70"/>
        <v>Espeon</v>
      </c>
      <c r="AB128" s="2"/>
      <c r="AC128" t="s">
        <v>498</v>
      </c>
      <c r="AD128" s="8" t="str">
        <f>VLOOKUP(AC128,moves!A:B,2,FALSE)</f>
        <v>psychic</v>
      </c>
      <c r="AE128" s="8">
        <f>VLOOKUP(AC128,moves!A:D,4,FALSE)</f>
        <v>4</v>
      </c>
      <c r="AF128" s="8" t="str">
        <f>VLOOKUP(AC128,moves!A:E,5,FALSE)</f>
        <v>If a status symbol is rolled: Inflict the Confused status on the target.</v>
      </c>
      <c r="AG128" s="6">
        <v>0</v>
      </c>
      <c r="AH128" s="6">
        <v>0</v>
      </c>
      <c r="AI128" s="8" t="str" cm="1">
        <f t="array" ref="AI128">_xlfn.IFS(AG128=1, "starter", AH128=1, "legendary",T128&lt; 13, "weak",T128&lt; 17, "moderate", TRUE, "strong")</f>
        <v>strong</v>
      </c>
      <c r="AK128">
        <v>2</v>
      </c>
      <c r="AL128" s="8">
        <v>0</v>
      </c>
      <c r="AM128" s="8">
        <v>0</v>
      </c>
    </row>
    <row r="129" spans="1:39" x14ac:dyDescent="0.25">
      <c r="A129" s="9">
        <v>197</v>
      </c>
      <c r="B129" s="2" t="s">
        <v>83</v>
      </c>
      <c r="C129" s="3" t="s">
        <v>9</v>
      </c>
      <c r="E129" s="1">
        <v>95</v>
      </c>
      <c r="F129" s="1">
        <v>65</v>
      </c>
      <c r="G129" s="1">
        <v>110</v>
      </c>
      <c r="H129" s="1">
        <v>60</v>
      </c>
      <c r="I129" s="1">
        <v>130</v>
      </c>
      <c r="J129" s="1">
        <v>65</v>
      </c>
      <c r="K129" s="1" t="s">
        <v>411</v>
      </c>
      <c r="L129" s="1" t="s">
        <v>304</v>
      </c>
      <c r="M129" s="1" t="s">
        <v>299</v>
      </c>
      <c r="N129" s="9">
        <f t="shared" si="64"/>
        <v>6.45</v>
      </c>
      <c r="O129" s="9">
        <f t="shared" si="65"/>
        <v>11</v>
      </c>
      <c r="P129" s="9">
        <v>0</v>
      </c>
      <c r="Q129" s="9">
        <v>1</v>
      </c>
      <c r="R129" s="12">
        <f t="shared" si="66"/>
        <v>6</v>
      </c>
      <c r="S129" s="12">
        <f t="shared" si="67"/>
        <v>12</v>
      </c>
      <c r="T129" s="12">
        <f t="shared" si="68"/>
        <v>18</v>
      </c>
      <c r="U129" s="1" t="str">
        <f t="shared" si="62"/>
        <v>dark</v>
      </c>
      <c r="V129" s="1" t="s">
        <v>8</v>
      </c>
      <c r="W129" s="1" t="s">
        <v>13</v>
      </c>
      <c r="X129" s="1" t="s">
        <v>39</v>
      </c>
      <c r="Z129" s="12" t="str">
        <f t="shared" si="63"/>
        <v/>
      </c>
      <c r="AA129" t="str">
        <f t="shared" si="70"/>
        <v>Umbreon</v>
      </c>
      <c r="AB129" s="2"/>
      <c r="AC129" t="s">
        <v>507</v>
      </c>
      <c r="AD129" s="8" t="str">
        <f>VLOOKUP(AC129,moves!A:B,2,FALSE)</f>
        <v>dark</v>
      </c>
      <c r="AE129" s="8">
        <f>VLOOKUP(AC129,moves!A:D,4,FALSE)</f>
        <v>4</v>
      </c>
      <c r="AF129" s="8" t="str">
        <f>VLOOKUP(AC129,moves!A:E,5,FALSE)</f>
        <v>When the target is next attacked, add a regular hit to the roll.</v>
      </c>
      <c r="AG129" s="6">
        <v>0</v>
      </c>
      <c r="AH129" s="6">
        <v>0</v>
      </c>
      <c r="AI129" s="8" t="str" cm="1">
        <f t="array" ref="AI129">_xlfn.IFS(AG129=1, "starter", AH129=1, "legendary",T129&lt; 13, "weak",T129&lt; 17, "moderate", TRUE, "strong")</f>
        <v>strong</v>
      </c>
      <c r="AK129">
        <v>2</v>
      </c>
      <c r="AL129" s="8">
        <v>0</v>
      </c>
      <c r="AM129" s="8">
        <v>0</v>
      </c>
    </row>
    <row r="130" spans="1:39" x14ac:dyDescent="0.25">
      <c r="A130" s="9">
        <v>470</v>
      </c>
      <c r="B130" s="2" t="s">
        <v>224</v>
      </c>
      <c r="C130" s="3" t="s">
        <v>2</v>
      </c>
      <c r="E130" s="1">
        <v>65</v>
      </c>
      <c r="F130" s="1">
        <v>110</v>
      </c>
      <c r="G130" s="1">
        <v>130</v>
      </c>
      <c r="H130" s="1">
        <v>60</v>
      </c>
      <c r="I130" s="1">
        <v>65</v>
      </c>
      <c r="J130" s="1">
        <v>95</v>
      </c>
      <c r="K130" s="1" t="s">
        <v>412</v>
      </c>
      <c r="L130" s="1" t="s">
        <v>298</v>
      </c>
      <c r="M130" s="1" t="s">
        <v>299</v>
      </c>
      <c r="N130" s="9">
        <f t="shared" si="64"/>
        <v>9.9</v>
      </c>
      <c r="O130" s="9">
        <f t="shared" si="65"/>
        <v>8.4499999999999993</v>
      </c>
      <c r="P130" s="9">
        <v>0</v>
      </c>
      <c r="Q130" s="9">
        <v>0</v>
      </c>
      <c r="R130" s="12">
        <f t="shared" si="66"/>
        <v>10</v>
      </c>
      <c r="S130" s="12">
        <f t="shared" si="67"/>
        <v>8</v>
      </c>
      <c r="T130" s="12">
        <f t="shared" si="68"/>
        <v>18</v>
      </c>
      <c r="U130" s="1" t="str">
        <f t="shared" si="62"/>
        <v>grass</v>
      </c>
      <c r="V130" s="1" t="s">
        <v>8</v>
      </c>
      <c r="W130" s="1" t="s">
        <v>13</v>
      </c>
      <c r="X130" s="1" t="s">
        <v>7</v>
      </c>
      <c r="Z130" s="12" t="str">
        <f t="shared" si="63"/>
        <v/>
      </c>
      <c r="AA130" t="str">
        <f t="shared" si="70"/>
        <v>Leafeon</v>
      </c>
      <c r="AB130" s="2"/>
      <c r="AC130" t="s">
        <v>781</v>
      </c>
      <c r="AD130" s="8" t="str">
        <f>VLOOKUP(AC130,moves!A:B,2,FALSE)</f>
        <v>grass</v>
      </c>
      <c r="AE130" s="8">
        <f>VLOOKUP(AC130,moves!A:D,4,FALSE)</f>
        <v>4</v>
      </c>
      <c r="AF130" s="8" t="str">
        <f>VLOOKUP(AC130,moves!A:E,5,FALSE)</f>
        <v>Critical hits deal +1 damage.</v>
      </c>
      <c r="AG130" s="6">
        <v>0</v>
      </c>
      <c r="AH130" s="6">
        <v>0</v>
      </c>
      <c r="AI130" s="8" t="str" cm="1">
        <f t="array" ref="AI130">_xlfn.IFS(AG130=1, "starter", AH130=1, "legendary",T130&lt; 13, "weak",T130&lt; 17, "moderate", TRUE, "strong")</f>
        <v>strong</v>
      </c>
      <c r="AK130">
        <v>2</v>
      </c>
      <c r="AL130" s="8">
        <v>0</v>
      </c>
      <c r="AM130" s="8">
        <v>0</v>
      </c>
    </row>
    <row r="131" spans="1:39" x14ac:dyDescent="0.25">
      <c r="A131" s="9">
        <v>471</v>
      </c>
      <c r="B131" s="2" t="s">
        <v>225</v>
      </c>
      <c r="C131" s="3" t="s">
        <v>14</v>
      </c>
      <c r="E131" s="1">
        <v>65</v>
      </c>
      <c r="F131" s="1">
        <v>60</v>
      </c>
      <c r="G131" s="1">
        <v>110</v>
      </c>
      <c r="H131" s="1">
        <v>130</v>
      </c>
      <c r="I131" s="1">
        <v>95</v>
      </c>
      <c r="J131" s="1">
        <v>65</v>
      </c>
      <c r="K131" s="1" t="s">
        <v>413</v>
      </c>
      <c r="L131" s="1" t="s">
        <v>301</v>
      </c>
      <c r="M131" s="1" t="s">
        <v>299</v>
      </c>
      <c r="N131" s="9">
        <f t="shared" si="64"/>
        <v>9.6999999999999993</v>
      </c>
      <c r="O131" s="9">
        <f t="shared" si="65"/>
        <v>8.75</v>
      </c>
      <c r="P131" s="9">
        <v>0</v>
      </c>
      <c r="Q131" s="9">
        <v>-1</v>
      </c>
      <c r="R131" s="12">
        <f t="shared" si="66"/>
        <v>10</v>
      </c>
      <c r="S131" s="12">
        <f t="shared" si="67"/>
        <v>8</v>
      </c>
      <c r="T131" s="12">
        <f t="shared" si="68"/>
        <v>18</v>
      </c>
      <c r="U131" s="1" t="str">
        <f t="shared" si="62"/>
        <v>ice</v>
      </c>
      <c r="V131" s="1" t="s">
        <v>8</v>
      </c>
      <c r="W131" s="1" t="s">
        <v>13</v>
      </c>
      <c r="X131" s="1" t="s">
        <v>6</v>
      </c>
      <c r="Z131" s="12" t="str">
        <f t="shared" si="63"/>
        <v/>
      </c>
      <c r="AA131" t="str">
        <f t="shared" si="70"/>
        <v>Glaceon</v>
      </c>
      <c r="AB131" s="2"/>
      <c r="AC131" t="s">
        <v>491</v>
      </c>
      <c r="AD131" s="8" t="str">
        <f>VLOOKUP(AC131,moves!A:B,2,FALSE)</f>
        <v>ice</v>
      </c>
      <c r="AE131" s="8">
        <f>VLOOKUP(AC131,moves!A:D,4,FALSE)</f>
        <v>5</v>
      </c>
      <c r="AF131" s="8" t="str">
        <f>VLOOKUP(AC131,moves!A:E,5,FALSE)</f>
        <v>If 2+ status symbols are rolled: Inflict the Frozen status on the target.</v>
      </c>
      <c r="AG131" s="6">
        <v>0</v>
      </c>
      <c r="AH131" s="6">
        <v>0</v>
      </c>
      <c r="AI131" s="8" t="str" cm="1">
        <f t="array" ref="AI131">_xlfn.IFS(AG131=1, "starter", AH131=1, "legendary",T131&lt; 13, "weak",T131&lt; 17, "moderate", TRUE, "strong")</f>
        <v>strong</v>
      </c>
      <c r="AK131">
        <v>2</v>
      </c>
      <c r="AL131" s="8">
        <v>0</v>
      </c>
      <c r="AM131" s="8">
        <v>0</v>
      </c>
    </row>
    <row r="132" spans="1:39" s="8" customFormat="1" x14ac:dyDescent="0.25">
      <c r="A132" s="9">
        <v>700</v>
      </c>
      <c r="B132" s="10" t="s">
        <v>672</v>
      </c>
      <c r="C132" s="3" t="s">
        <v>16</v>
      </c>
      <c r="D132" s="3"/>
      <c r="E132" s="9">
        <v>95</v>
      </c>
      <c r="F132" s="9">
        <v>65</v>
      </c>
      <c r="G132" s="9">
        <v>65</v>
      </c>
      <c r="H132" s="9">
        <v>110</v>
      </c>
      <c r="I132" s="9">
        <v>130</v>
      </c>
      <c r="J132" s="9">
        <v>60</v>
      </c>
      <c r="K132" s="9" t="s">
        <v>673</v>
      </c>
      <c r="L132" s="9" t="s">
        <v>298</v>
      </c>
      <c r="M132" s="9" t="s">
        <v>300</v>
      </c>
      <c r="N132" s="9">
        <f t="shared" si="64"/>
        <v>8.5500000000000007</v>
      </c>
      <c r="O132" s="9">
        <f t="shared" si="65"/>
        <v>9.65</v>
      </c>
      <c r="P132" s="9">
        <v>0</v>
      </c>
      <c r="Q132" s="9">
        <v>-1</v>
      </c>
      <c r="R132" s="12">
        <f t="shared" si="66"/>
        <v>9</v>
      </c>
      <c r="S132" s="12">
        <f t="shared" si="67"/>
        <v>9</v>
      </c>
      <c r="T132" s="12">
        <f t="shared" si="68"/>
        <v>18</v>
      </c>
      <c r="U132" s="9" t="str">
        <f t="shared" si="62"/>
        <v>fairy</v>
      </c>
      <c r="V132" s="9" t="s">
        <v>8</v>
      </c>
      <c r="W132" s="9" t="s">
        <v>13</v>
      </c>
      <c r="X132" s="9" t="s">
        <v>4</v>
      </c>
      <c r="Y132" s="9"/>
      <c r="Z132" s="12" t="str">
        <f t="shared" si="63"/>
        <v/>
      </c>
      <c r="AA132" s="8" t="str">
        <f t="shared" si="70"/>
        <v>Sylveon</v>
      </c>
      <c r="AB132" s="10"/>
      <c r="AC132" s="8" t="s">
        <v>538</v>
      </c>
      <c r="AD132" s="8" t="str">
        <f>VLOOKUP(AC132,moves!A:B,2,FALSE)</f>
        <v>fairy</v>
      </c>
      <c r="AE132" s="8">
        <f>VLOOKUP(AC132,moves!A:D,4,FALSE)</f>
        <v>5</v>
      </c>
      <c r="AF132" s="8" t="str">
        <f>VLOOKUP(AC132,moves!A:E,5,FALSE)</f>
        <v>If 2+ status symbols are rolled: Inflict the Drowsy status on the target.</v>
      </c>
      <c r="AG132" s="11">
        <v>0</v>
      </c>
      <c r="AH132" s="11">
        <v>0</v>
      </c>
      <c r="AI132" s="8" t="str" cm="1">
        <f t="array" ref="AI132">_xlfn.IFS(AG132=1, "starter", AH132=1, "legendary",T132&lt; 13, "weak",T132&lt; 17, "moderate", TRUE, "strong")</f>
        <v>strong</v>
      </c>
      <c r="AK132" s="8">
        <v>2</v>
      </c>
      <c r="AL132" s="8">
        <v>0</v>
      </c>
      <c r="AM132" s="8">
        <v>0</v>
      </c>
    </row>
    <row r="133" spans="1:39" x14ac:dyDescent="0.25">
      <c r="A133" s="9">
        <v>207</v>
      </c>
      <c r="B133" s="2" t="s">
        <v>87</v>
      </c>
      <c r="C133" s="3" t="s">
        <v>13</v>
      </c>
      <c r="D133" s="3" t="s">
        <v>5</v>
      </c>
      <c r="E133" s="1">
        <v>65</v>
      </c>
      <c r="F133" s="1">
        <v>75</v>
      </c>
      <c r="G133" s="1">
        <v>105</v>
      </c>
      <c r="H133" s="1">
        <v>35</v>
      </c>
      <c r="I133" s="1">
        <v>65</v>
      </c>
      <c r="J133" s="1">
        <v>85</v>
      </c>
      <c r="K133" s="1" t="s">
        <v>414</v>
      </c>
      <c r="L133" s="1" t="s">
        <v>304</v>
      </c>
      <c r="M133" s="1" t="s">
        <v>299</v>
      </c>
      <c r="N133" s="9">
        <f t="shared" si="64"/>
        <v>7.5</v>
      </c>
      <c r="O133" s="9">
        <f t="shared" si="65"/>
        <v>7.7</v>
      </c>
      <c r="P133" s="9">
        <v>0</v>
      </c>
      <c r="Q133" s="9">
        <v>0</v>
      </c>
      <c r="R133" s="12">
        <f t="shared" si="66"/>
        <v>8</v>
      </c>
      <c r="S133" s="12">
        <f t="shared" si="67"/>
        <v>8</v>
      </c>
      <c r="T133" s="12">
        <f t="shared" si="68"/>
        <v>16</v>
      </c>
      <c r="U133" s="1" t="str">
        <f t="shared" si="62"/>
        <v>ground</v>
      </c>
      <c r="V133" s="1" t="str">
        <f t="shared" ref="V133:V142" si="78">IF(D133 = 0, "", D133)</f>
        <v>flying</v>
      </c>
      <c r="W133" s="1" t="s">
        <v>3</v>
      </c>
      <c r="X133" s="1" t="s">
        <v>7</v>
      </c>
      <c r="Y133" s="1" t="str">
        <f>B134</f>
        <v>Gliscor</v>
      </c>
      <c r="Z133" s="12">
        <f t="shared" si="63"/>
        <v>4</v>
      </c>
      <c r="AA133" t="str">
        <f t="shared" si="70"/>
        <v>Gligar</v>
      </c>
      <c r="AB133" s="2"/>
      <c r="AC133" t="s">
        <v>592</v>
      </c>
      <c r="AD133" s="8" t="str">
        <f>VLOOKUP(AC133,moves!A:B,2,FALSE)</f>
        <v>flying</v>
      </c>
      <c r="AE133" s="8">
        <f>VLOOKUP(AC133,moves!A:D,4,FALSE)</f>
        <v>3</v>
      </c>
      <c r="AF133" s="8" t="str">
        <f>VLOOKUP(AC133,moves!A:E,5,FALSE)</f>
        <v>If the user does not have a held item, attack strength is increased to 5 .</v>
      </c>
      <c r="AG133" s="6">
        <v>0</v>
      </c>
      <c r="AH133" s="6">
        <v>0</v>
      </c>
      <c r="AI133" s="8" t="str" cm="1">
        <f t="array" ref="AI133">_xlfn.IFS(AG133=1, "starter", AH133=1, "legendary",T133&lt; 13, "weak",T133&lt; 17, "moderate", TRUE, "strong")</f>
        <v>moderate</v>
      </c>
      <c r="AK133">
        <v>1</v>
      </c>
      <c r="AL133" s="8">
        <v>0</v>
      </c>
      <c r="AM133" s="8">
        <v>0</v>
      </c>
    </row>
    <row r="134" spans="1:39" x14ac:dyDescent="0.25">
      <c r="A134" s="9">
        <v>472</v>
      </c>
      <c r="B134" s="2" t="s">
        <v>226</v>
      </c>
      <c r="C134" s="3" t="s">
        <v>13</v>
      </c>
      <c r="D134" s="3" t="s">
        <v>5</v>
      </c>
      <c r="E134" s="1">
        <v>75</v>
      </c>
      <c r="F134" s="1">
        <v>95</v>
      </c>
      <c r="G134" s="1">
        <v>125</v>
      </c>
      <c r="H134" s="1">
        <v>45</v>
      </c>
      <c r="I134" s="1">
        <v>75</v>
      </c>
      <c r="J134" s="1">
        <v>95</v>
      </c>
      <c r="K134" s="1" t="s">
        <v>415</v>
      </c>
      <c r="L134" s="1" t="s">
        <v>304</v>
      </c>
      <c r="M134" s="1" t="s">
        <v>299</v>
      </c>
      <c r="N134" s="9">
        <f t="shared" si="64"/>
        <v>9</v>
      </c>
      <c r="O134" s="9">
        <f t="shared" si="65"/>
        <v>9</v>
      </c>
      <c r="P134" s="9">
        <v>0</v>
      </c>
      <c r="Q134" s="9">
        <v>0</v>
      </c>
      <c r="R134" s="12">
        <f t="shared" si="66"/>
        <v>9</v>
      </c>
      <c r="S134" s="12">
        <f t="shared" si="67"/>
        <v>9</v>
      </c>
      <c r="T134" s="12">
        <f t="shared" si="68"/>
        <v>18</v>
      </c>
      <c r="U134" s="1" t="str">
        <f t="shared" si="62"/>
        <v>ground</v>
      </c>
      <c r="V134" s="1" t="str">
        <f t="shared" si="78"/>
        <v>flying</v>
      </c>
      <c r="W134" s="1" t="s">
        <v>3</v>
      </c>
      <c r="X134" s="1" t="s">
        <v>7</v>
      </c>
      <c r="Z134" s="12" t="str">
        <f t="shared" si="63"/>
        <v/>
      </c>
      <c r="AA134" t="str">
        <f t="shared" si="70"/>
        <v>Gliscor</v>
      </c>
      <c r="AB134" s="2"/>
      <c r="AC134" t="s">
        <v>487</v>
      </c>
      <c r="AD134" s="8" t="str">
        <f>VLOOKUP(AC134,moves!A:B,2,FALSE)</f>
        <v>ground</v>
      </c>
      <c r="AE134" s="8">
        <f>VLOOKUP(AC134,moves!A:D,4,FALSE)</f>
        <v>5</v>
      </c>
      <c r="AF134" s="8" t="str">
        <f>VLOOKUP(AC134,moves!A:E,5,FALSE)</f>
        <v>If 2+ status symbols are rolled: Deal 2 damage to a Pokémon in the target party that is not the target.</v>
      </c>
      <c r="AG134" s="6">
        <v>0</v>
      </c>
      <c r="AH134" s="6">
        <v>0</v>
      </c>
      <c r="AI134" s="8" t="str" cm="1">
        <f t="array" ref="AI134">_xlfn.IFS(AG134=1, "starter", AH134=1, "legendary",T134&lt; 13, "weak",T134&lt; 17, "moderate", TRUE, "strong")</f>
        <v>strong</v>
      </c>
      <c r="AK134">
        <v>2</v>
      </c>
      <c r="AL134" s="8">
        <v>0</v>
      </c>
      <c r="AM134" s="8">
        <v>0</v>
      </c>
    </row>
    <row r="135" spans="1:39" x14ac:dyDescent="0.25">
      <c r="A135" s="9">
        <v>220</v>
      </c>
      <c r="B135" s="2" t="s">
        <v>93</v>
      </c>
      <c r="C135" s="3" t="s">
        <v>14</v>
      </c>
      <c r="D135" s="3" t="s">
        <v>13</v>
      </c>
      <c r="E135" s="1">
        <v>50</v>
      </c>
      <c r="F135" s="1">
        <v>50</v>
      </c>
      <c r="G135" s="1">
        <v>40</v>
      </c>
      <c r="H135" s="1">
        <v>30</v>
      </c>
      <c r="I135" s="1">
        <v>30</v>
      </c>
      <c r="J135" s="1">
        <v>50</v>
      </c>
      <c r="K135" s="1" t="s">
        <v>416</v>
      </c>
      <c r="L135" s="1" t="s">
        <v>301</v>
      </c>
      <c r="M135" s="1" t="s">
        <v>299</v>
      </c>
      <c r="N135" s="9">
        <f t="shared" si="64"/>
        <v>4.8</v>
      </c>
      <c r="O135" s="9">
        <f t="shared" si="65"/>
        <v>4.0999999999999996</v>
      </c>
      <c r="P135" s="9">
        <v>0</v>
      </c>
      <c r="Q135" s="9">
        <v>1</v>
      </c>
      <c r="R135" s="12">
        <f t="shared" si="66"/>
        <v>5</v>
      </c>
      <c r="S135" s="12">
        <f t="shared" si="67"/>
        <v>5</v>
      </c>
      <c r="T135" s="12">
        <f t="shared" si="68"/>
        <v>10</v>
      </c>
      <c r="U135" s="1" t="str">
        <f t="shared" si="62"/>
        <v>ice</v>
      </c>
      <c r="V135" s="1" t="str">
        <f t="shared" si="78"/>
        <v>ground</v>
      </c>
      <c r="W135" s="1" t="s">
        <v>33</v>
      </c>
      <c r="X135" s="1" t="s">
        <v>22</v>
      </c>
      <c r="Y135" s="1" t="str">
        <f>B136</f>
        <v>Piloswine</v>
      </c>
      <c r="Z135" s="12">
        <f t="shared" si="63"/>
        <v>5</v>
      </c>
      <c r="AA135" t="str">
        <f t="shared" si="70"/>
        <v>Swinub</v>
      </c>
      <c r="AB135" s="2"/>
      <c r="AC135" s="8" t="s">
        <v>537</v>
      </c>
      <c r="AD135" s="8" t="str">
        <f>VLOOKUP(AC135,moves!A:B,2,FALSE)</f>
        <v>rock</v>
      </c>
      <c r="AE135" s="8">
        <f>VLOOKUP(AC135,moves!A:D,4,FALSE)</f>
        <v>3</v>
      </c>
      <c r="AF135" s="8" t="str">
        <f>VLOOKUP(AC135,moves!A:E,5,FALSE)</f>
        <v>Add any critical hits or status symbols rolled on this attack to the next attack roll of the user.</v>
      </c>
      <c r="AG135" s="6">
        <v>1</v>
      </c>
      <c r="AH135" s="6">
        <v>0</v>
      </c>
      <c r="AI135" s="8" t="str" cm="1">
        <f t="array" ref="AI135">_xlfn.IFS(AG135=1, "starter", AH135=1, "legendary",T135&lt; 13, "weak",T135&lt; 17, "moderate", TRUE, "strong")</f>
        <v>starter</v>
      </c>
      <c r="AK135">
        <v>1</v>
      </c>
      <c r="AL135" s="8">
        <v>0</v>
      </c>
      <c r="AM135" s="8">
        <v>0</v>
      </c>
    </row>
    <row r="136" spans="1:39" x14ac:dyDescent="0.25">
      <c r="A136" s="9">
        <v>221</v>
      </c>
      <c r="B136" s="2" t="s">
        <v>94</v>
      </c>
      <c r="C136" s="3" t="s">
        <v>14</v>
      </c>
      <c r="D136" s="3" t="s">
        <v>13</v>
      </c>
      <c r="E136" s="1">
        <v>100</v>
      </c>
      <c r="F136" s="1">
        <v>100</v>
      </c>
      <c r="G136" s="1">
        <v>80</v>
      </c>
      <c r="H136" s="1">
        <v>60</v>
      </c>
      <c r="I136" s="1">
        <v>60</v>
      </c>
      <c r="J136" s="1">
        <v>50</v>
      </c>
      <c r="K136" s="1" t="s">
        <v>417</v>
      </c>
      <c r="L136" s="1" t="s">
        <v>301</v>
      </c>
      <c r="M136" s="1" t="s">
        <v>299</v>
      </c>
      <c r="N136" s="9">
        <f t="shared" si="64"/>
        <v>7.6</v>
      </c>
      <c r="O136" s="9">
        <f t="shared" si="65"/>
        <v>8.1999999999999993</v>
      </c>
      <c r="P136" s="9">
        <v>-1</v>
      </c>
      <c r="Q136" s="9">
        <v>0</v>
      </c>
      <c r="R136" s="12">
        <f t="shared" si="66"/>
        <v>7</v>
      </c>
      <c r="S136" s="12">
        <f t="shared" si="67"/>
        <v>8</v>
      </c>
      <c r="T136" s="12">
        <f t="shared" si="68"/>
        <v>15</v>
      </c>
      <c r="U136" s="1" t="str">
        <f t="shared" si="62"/>
        <v>ice</v>
      </c>
      <c r="V136" s="1" t="str">
        <f t="shared" si="78"/>
        <v>ground</v>
      </c>
      <c r="W136" s="1" t="s">
        <v>33</v>
      </c>
      <c r="X136" s="1" t="s">
        <v>22</v>
      </c>
      <c r="Y136" s="1" t="str">
        <f>B137</f>
        <v>Mamoswine</v>
      </c>
      <c r="Z136" s="12">
        <f t="shared" si="63"/>
        <v>7</v>
      </c>
      <c r="AA136" t="str">
        <f t="shared" si="70"/>
        <v>Piloswine</v>
      </c>
      <c r="AB136" s="2"/>
      <c r="AC136" s="8" t="s">
        <v>658</v>
      </c>
      <c r="AD136" s="8" t="str">
        <f>VLOOKUP(AC136,moves!A:B,2,FALSE)</f>
        <v>ice</v>
      </c>
      <c r="AE136" s="8">
        <f>VLOOKUP(AC136,moves!A:D,4,FALSE)</f>
        <v>3</v>
      </c>
      <c r="AF136" s="8" t="str">
        <f>VLOOKUP(AC136,moves!A:E,5,FALSE)</f>
        <v>If a status symbol is rolled: Inflict the Frozen status on the target.</v>
      </c>
      <c r="AG136" s="6">
        <v>0</v>
      </c>
      <c r="AH136" s="6">
        <v>0</v>
      </c>
      <c r="AI136" s="8" t="str" cm="1">
        <f t="array" ref="AI136">_xlfn.IFS(AG136=1, "starter", AH136=1, "legendary",T136&lt; 13, "weak",T136&lt; 17, "moderate", TRUE, "strong")</f>
        <v>moderate</v>
      </c>
      <c r="AK136">
        <v>2</v>
      </c>
      <c r="AL136" s="8">
        <v>0</v>
      </c>
      <c r="AM136" s="8">
        <v>0</v>
      </c>
    </row>
    <row r="137" spans="1:39" x14ac:dyDescent="0.25">
      <c r="A137" s="9">
        <v>473</v>
      </c>
      <c r="B137" s="2" t="s">
        <v>227</v>
      </c>
      <c r="C137" s="3" t="s">
        <v>14</v>
      </c>
      <c r="D137" s="3" t="s">
        <v>13</v>
      </c>
      <c r="E137" s="1">
        <v>110</v>
      </c>
      <c r="F137" s="1">
        <v>130</v>
      </c>
      <c r="G137" s="1">
        <v>80</v>
      </c>
      <c r="H137" s="1">
        <v>70</v>
      </c>
      <c r="I137" s="1">
        <v>60</v>
      </c>
      <c r="J137" s="1">
        <v>80</v>
      </c>
      <c r="K137" s="1" t="s">
        <v>418</v>
      </c>
      <c r="L137" s="1" t="s">
        <v>301</v>
      </c>
      <c r="M137" s="1" t="s">
        <v>299</v>
      </c>
      <c r="N137" s="9">
        <f t="shared" si="64"/>
        <v>10.4</v>
      </c>
      <c r="O137" s="9">
        <f t="shared" si="65"/>
        <v>8.6</v>
      </c>
      <c r="P137" s="9">
        <v>0</v>
      </c>
      <c r="Q137" s="9">
        <v>0</v>
      </c>
      <c r="R137" s="12">
        <f t="shared" si="66"/>
        <v>10</v>
      </c>
      <c r="S137" s="12">
        <f t="shared" si="67"/>
        <v>9</v>
      </c>
      <c r="T137" s="12">
        <f t="shared" si="68"/>
        <v>19</v>
      </c>
      <c r="U137" s="1" t="str">
        <f t="shared" si="62"/>
        <v>ice</v>
      </c>
      <c r="V137" s="1" t="str">
        <f t="shared" si="78"/>
        <v>ground</v>
      </c>
      <c r="W137" s="1" t="s">
        <v>33</v>
      </c>
      <c r="X137" s="1" t="s">
        <v>22</v>
      </c>
      <c r="Z137" s="12" t="str">
        <f>IF(ISBLANK(Y137), "", ROUND(( (T139-6)*(T139-7) - (T137-6)*(T137-7) )/15, 0) + 1)</f>
        <v/>
      </c>
      <c r="AA137" t="str">
        <f t="shared" si="70"/>
        <v>Mamoswine</v>
      </c>
      <c r="AB137" s="2"/>
      <c r="AC137" t="s">
        <v>487</v>
      </c>
      <c r="AD137" s="8" t="str">
        <f>VLOOKUP(AC137,moves!A:B,2,FALSE)</f>
        <v>ground</v>
      </c>
      <c r="AE137" s="8">
        <f>VLOOKUP(AC137,moves!A:D,4,FALSE)</f>
        <v>5</v>
      </c>
      <c r="AF137" s="8" t="str">
        <f>VLOOKUP(AC137,moves!A:E,5,FALSE)</f>
        <v>If 2+ status symbols are rolled: Deal 2 damage to a Pokémon in the target party that is not the target.</v>
      </c>
      <c r="AG137" s="6">
        <v>0</v>
      </c>
      <c r="AH137" s="6">
        <v>0</v>
      </c>
      <c r="AI137" s="8" t="str" cm="1">
        <f t="array" ref="AI137">_xlfn.IFS(AG137=1, "starter", AH137=1, "legendary",T137&lt; 13, "weak",T137&lt; 17, "moderate", TRUE, "strong")</f>
        <v>strong</v>
      </c>
      <c r="AK137">
        <v>3</v>
      </c>
      <c r="AL137" s="8">
        <v>0</v>
      </c>
      <c r="AM137" s="8">
        <v>1</v>
      </c>
    </row>
    <row r="138" spans="1:39" s="8" customFormat="1" x14ac:dyDescent="0.25">
      <c r="A138" s="9" t="s">
        <v>1300</v>
      </c>
      <c r="B138" s="10" t="s">
        <v>227</v>
      </c>
      <c r="C138" s="3" t="s">
        <v>14</v>
      </c>
      <c r="D138" s="3" t="s">
        <v>13</v>
      </c>
      <c r="E138" s="9">
        <v>110</v>
      </c>
      <c r="F138" s="9">
        <v>130</v>
      </c>
      <c r="G138" s="9">
        <v>80</v>
      </c>
      <c r="H138" s="9">
        <v>70</v>
      </c>
      <c r="I138" s="9">
        <v>60</v>
      </c>
      <c r="J138" s="9">
        <v>80</v>
      </c>
      <c r="K138" s="9" t="s">
        <v>418</v>
      </c>
      <c r="L138" s="9" t="s">
        <v>301</v>
      </c>
      <c r="M138" s="9" t="s">
        <v>299</v>
      </c>
      <c r="N138" s="9">
        <f t="shared" ref="N138" si="79">(0.4*J138 + 0.5*MAX(F138,H138) + 0.1*MIN(F138,H138)) / 10</f>
        <v>10.4</v>
      </c>
      <c r="O138" s="9">
        <f t="shared" ref="O138" si="80">(0.4*E138 + 0.3*G138 + 0.3*I138) / 10</f>
        <v>8.6</v>
      </c>
      <c r="P138" s="9">
        <v>1</v>
      </c>
      <c r="Q138" s="9">
        <v>2</v>
      </c>
      <c r="R138" s="12">
        <f t="shared" ref="R138" si="81">ROUND(N138,0)+P138</f>
        <v>11</v>
      </c>
      <c r="S138" s="12">
        <f t="shared" ref="S138" si="82">ROUND(O138,0)+Q138</f>
        <v>11</v>
      </c>
      <c r="T138" s="12">
        <f t="shared" ref="T138" si="83">SUM(ROUND(R138,0),ROUND(S138,0))</f>
        <v>22</v>
      </c>
      <c r="U138" s="9" t="str">
        <f t="shared" ref="U138" si="84">C138</f>
        <v>ice</v>
      </c>
      <c r="V138" s="9" t="str">
        <f t="shared" ref="V138" si="85">IF(D138 = 0, "", D138)</f>
        <v>ground</v>
      </c>
      <c r="W138" s="9" t="s">
        <v>33</v>
      </c>
      <c r="X138" s="9" t="s">
        <v>22</v>
      </c>
      <c r="Y138" s="9"/>
      <c r="Z138" s="12" t="str">
        <f>IF(ISBLANK(Y138), "", ROUND(( (T140-6)*(T140-7) - (T138-6)*(T138-7) )/15, 0) + 1)</f>
        <v/>
      </c>
      <c r="AA138" s="8" t="str">
        <f t="shared" ref="AA138" si="86">B138</f>
        <v>Mamoswine</v>
      </c>
      <c r="AB138" s="10" t="s">
        <v>1338</v>
      </c>
      <c r="AC138" s="8" t="s">
        <v>487</v>
      </c>
      <c r="AD138" s="8" t="str">
        <f>VLOOKUP(AC138,moves!A:B,2,FALSE)</f>
        <v>ground</v>
      </c>
      <c r="AE138" s="8">
        <f>VLOOKUP(AC138,moves!A:D,4,FALSE)</f>
        <v>5</v>
      </c>
      <c r="AF138" s="8" t="str">
        <f>VLOOKUP(AC138,moves!A:E,5,FALSE)</f>
        <v>If 2+ status symbols are rolled: Deal 2 damage to a Pokémon in the target party that is not the target.</v>
      </c>
      <c r="AG138" s="11">
        <v>0</v>
      </c>
      <c r="AH138" s="11">
        <v>1</v>
      </c>
      <c r="AI138" s="8" t="str" cm="1">
        <f t="array" ref="AI138">_xlfn.IFS(AG138=1, "starter", AH138=1, "legendary",T138&lt; 13, "weak",T138&lt; 17, "moderate", TRUE, "strong")</f>
        <v>legendary</v>
      </c>
      <c r="AK138" s="8">
        <v>3</v>
      </c>
      <c r="AL138" s="8">
        <v>0</v>
      </c>
      <c r="AM138" s="8">
        <v>2</v>
      </c>
    </row>
    <row r="139" spans="1:39" x14ac:dyDescent="0.25">
      <c r="A139" s="9">
        <v>280</v>
      </c>
      <c r="B139" s="2" t="s">
        <v>116</v>
      </c>
      <c r="C139" s="3" t="s">
        <v>26</v>
      </c>
      <c r="D139" s="3" t="s">
        <v>16</v>
      </c>
      <c r="E139" s="1">
        <v>28</v>
      </c>
      <c r="F139" s="1">
        <v>25</v>
      </c>
      <c r="G139" s="1">
        <v>25</v>
      </c>
      <c r="H139" s="1">
        <v>45</v>
      </c>
      <c r="I139" s="1">
        <v>35</v>
      </c>
      <c r="J139" s="1">
        <v>40</v>
      </c>
      <c r="K139" s="1" t="s">
        <v>419</v>
      </c>
      <c r="L139" s="2" t="s">
        <v>298</v>
      </c>
      <c r="M139" s="1" t="s">
        <v>299</v>
      </c>
      <c r="N139" s="9">
        <f t="shared" si="64"/>
        <v>4.0999999999999996</v>
      </c>
      <c r="O139" s="9">
        <f t="shared" si="65"/>
        <v>2.9200000000000004</v>
      </c>
      <c r="P139" s="9">
        <v>0</v>
      </c>
      <c r="Q139" s="9">
        <v>0</v>
      </c>
      <c r="R139" s="12">
        <f t="shared" si="66"/>
        <v>4</v>
      </c>
      <c r="S139" s="12">
        <f t="shared" si="67"/>
        <v>3</v>
      </c>
      <c r="T139" s="12">
        <f t="shared" si="68"/>
        <v>7</v>
      </c>
      <c r="U139" s="1" t="str">
        <f t="shared" si="62"/>
        <v>psychic</v>
      </c>
      <c r="V139" s="1" t="str">
        <f t="shared" si="78"/>
        <v>fairy</v>
      </c>
      <c r="W139" s="1" t="s">
        <v>42</v>
      </c>
      <c r="X139" s="1" t="s">
        <v>8</v>
      </c>
      <c r="Y139" s="1" t="str">
        <f>B140</f>
        <v>Kirlia</v>
      </c>
      <c r="Z139" s="12">
        <f t="shared" si="63"/>
        <v>2</v>
      </c>
      <c r="AA139" t="str">
        <f t="shared" si="70"/>
        <v>Ralts</v>
      </c>
      <c r="AB139" s="2"/>
      <c r="AC139" t="s">
        <v>544</v>
      </c>
      <c r="AD139" s="8" t="str">
        <f>VLOOKUP(AC139,moves!A:B,2,FALSE)</f>
        <v>psychic</v>
      </c>
      <c r="AE139" s="8">
        <f>VLOOKUP(AC139,moves!A:D,4,FALSE)</f>
        <v>1</v>
      </c>
      <c r="AF139" s="8" t="str">
        <f>VLOOKUP(AC139,moves!A:E,5,FALSE)</f>
        <v>The user may switch out. When the target next attacks, remove 2 regular hits from the roll.</v>
      </c>
      <c r="AG139" s="6">
        <v>0</v>
      </c>
      <c r="AH139" s="6">
        <v>0</v>
      </c>
      <c r="AI139" s="8" t="str" cm="1">
        <f t="array" ref="AI139">_xlfn.IFS(AG139=1, "starter", AH139=1, "legendary",T139&lt; 13, "weak",T139&lt; 17, "moderate", TRUE, "strong")</f>
        <v>weak</v>
      </c>
      <c r="AK139">
        <v>1</v>
      </c>
      <c r="AL139" s="8">
        <v>0</v>
      </c>
      <c r="AM139" s="8">
        <v>0</v>
      </c>
    </row>
    <row r="140" spans="1:39" x14ac:dyDescent="0.25">
      <c r="A140" s="9">
        <v>281</v>
      </c>
      <c r="B140" s="2" t="s">
        <v>117</v>
      </c>
      <c r="C140" s="3" t="s">
        <v>26</v>
      </c>
      <c r="D140" s="3" t="s">
        <v>16</v>
      </c>
      <c r="E140" s="1">
        <v>38</v>
      </c>
      <c r="F140" s="1">
        <v>35</v>
      </c>
      <c r="G140" s="1">
        <v>35</v>
      </c>
      <c r="H140" s="1">
        <v>65</v>
      </c>
      <c r="I140" s="1">
        <v>55</v>
      </c>
      <c r="J140" s="1">
        <v>50</v>
      </c>
      <c r="K140" s="1" t="s">
        <v>420</v>
      </c>
      <c r="L140" s="2" t="s">
        <v>298</v>
      </c>
      <c r="M140" s="1" t="s">
        <v>299</v>
      </c>
      <c r="N140" s="9">
        <f t="shared" si="64"/>
        <v>5.6</v>
      </c>
      <c r="O140" s="9">
        <f t="shared" si="65"/>
        <v>4.2200000000000006</v>
      </c>
      <c r="P140" s="9">
        <v>0</v>
      </c>
      <c r="Q140" s="9">
        <v>0</v>
      </c>
      <c r="R140" s="12">
        <f t="shared" si="66"/>
        <v>6</v>
      </c>
      <c r="S140" s="12">
        <f t="shared" si="67"/>
        <v>4</v>
      </c>
      <c r="T140" s="12">
        <f t="shared" si="68"/>
        <v>10</v>
      </c>
      <c r="U140" s="1" t="str">
        <f t="shared" si="62"/>
        <v>psychic</v>
      </c>
      <c r="V140" s="1" t="str">
        <f t="shared" si="78"/>
        <v>fairy</v>
      </c>
      <c r="W140" s="1" t="s">
        <v>42</v>
      </c>
      <c r="X140" s="1" t="s">
        <v>8</v>
      </c>
      <c r="Y140" s="1" t="s">
        <v>465</v>
      </c>
      <c r="Z140" s="12">
        <f t="shared" si="63"/>
        <v>9</v>
      </c>
      <c r="AA140" t="str">
        <f t="shared" si="70"/>
        <v>Kirlia</v>
      </c>
      <c r="AB140" s="2"/>
      <c r="AC140" t="s">
        <v>499</v>
      </c>
      <c r="AD140" s="8" t="str">
        <f>VLOOKUP(AC140,moves!A:B,2,FALSE)</f>
        <v>psychic</v>
      </c>
      <c r="AE140" s="8">
        <f>VLOOKUP(AC140,moves!A:D,4,FALSE)</f>
        <v>2</v>
      </c>
      <c r="AF140" s="8" t="str">
        <f>VLOOKUP(AC140,moves!A:E,5,FALSE)</f>
        <v>Inflict the Confused status on the target.</v>
      </c>
      <c r="AG140" s="6">
        <v>0</v>
      </c>
      <c r="AH140" s="6">
        <v>0</v>
      </c>
      <c r="AI140" s="8" t="str" cm="1">
        <f t="array" ref="AI140">_xlfn.IFS(AG140=1, "starter", AH140=1, "legendary",T140&lt; 13, "weak",T140&lt; 17, "moderate", TRUE, "strong")</f>
        <v>weak</v>
      </c>
      <c r="AK140">
        <v>2</v>
      </c>
      <c r="AL140" s="8">
        <v>0</v>
      </c>
      <c r="AM140" s="8">
        <v>0</v>
      </c>
    </row>
    <row r="141" spans="1:39" x14ac:dyDescent="0.25">
      <c r="A141" s="9">
        <v>282</v>
      </c>
      <c r="B141" s="2" t="s">
        <v>118</v>
      </c>
      <c r="C141" s="3" t="s">
        <v>26</v>
      </c>
      <c r="D141" s="3" t="s">
        <v>16</v>
      </c>
      <c r="E141" s="1">
        <v>68</v>
      </c>
      <c r="F141" s="1">
        <v>65</v>
      </c>
      <c r="G141" s="1">
        <v>65</v>
      </c>
      <c r="H141" s="1">
        <v>125</v>
      </c>
      <c r="I141" s="1">
        <v>115</v>
      </c>
      <c r="J141" s="1">
        <v>80</v>
      </c>
      <c r="K141" s="1" t="s">
        <v>421</v>
      </c>
      <c r="L141" s="2" t="s">
        <v>298</v>
      </c>
      <c r="M141" s="1" t="s">
        <v>299</v>
      </c>
      <c r="N141" s="9">
        <f t="shared" si="64"/>
        <v>10.1</v>
      </c>
      <c r="O141" s="9">
        <f t="shared" si="65"/>
        <v>8.120000000000001</v>
      </c>
      <c r="P141" s="9">
        <v>0</v>
      </c>
      <c r="Q141" s="9">
        <v>0</v>
      </c>
      <c r="R141" s="12">
        <f t="shared" si="66"/>
        <v>10</v>
      </c>
      <c r="S141" s="12">
        <f t="shared" si="67"/>
        <v>8</v>
      </c>
      <c r="T141" s="12">
        <f t="shared" si="68"/>
        <v>18</v>
      </c>
      <c r="U141" s="1" t="str">
        <f t="shared" ref="U141:U216" si="87">C141</f>
        <v>psychic</v>
      </c>
      <c r="V141" s="1" t="str">
        <f t="shared" si="78"/>
        <v>fairy</v>
      </c>
      <c r="W141" s="1" t="s">
        <v>42</v>
      </c>
      <c r="X141" s="1" t="s">
        <v>14</v>
      </c>
      <c r="Z141" s="12" t="str">
        <f t="shared" ref="Z141:Z216" si="88">IF(ISBLANK(Y141), "", ROUND(( (T142-6)*(T142-7) - (T141-6)*(T141-7) )/15, 0) + 1)</f>
        <v/>
      </c>
      <c r="AA141" t="str">
        <f t="shared" si="70"/>
        <v>Gardevoir</v>
      </c>
      <c r="AB141" s="2"/>
      <c r="AC141" t="s">
        <v>538</v>
      </c>
      <c r="AD141" s="8" t="str">
        <f>VLOOKUP(AC141,moves!A:B,2,FALSE)</f>
        <v>fairy</v>
      </c>
      <c r="AE141" s="8">
        <f>VLOOKUP(AC141,moves!A:D,4,FALSE)</f>
        <v>5</v>
      </c>
      <c r="AF141" s="8" t="str">
        <f>VLOOKUP(AC141,moves!A:E,5,FALSE)</f>
        <v>If 2+ status symbols are rolled: Inflict the Drowsy status on the target.</v>
      </c>
      <c r="AG141" s="6">
        <v>0</v>
      </c>
      <c r="AH141" s="6">
        <v>0</v>
      </c>
      <c r="AI141" s="8" t="str" cm="1">
        <f t="array" ref="AI141">_xlfn.IFS(AG141=1, "starter", AH141=1, "legendary",T141&lt; 13, "weak",T141&lt; 17, "moderate", TRUE, "strong")</f>
        <v>strong</v>
      </c>
      <c r="AK141">
        <v>3</v>
      </c>
      <c r="AL141" s="8">
        <v>0</v>
      </c>
      <c r="AM141" s="8">
        <v>0</v>
      </c>
    </row>
    <row r="142" spans="1:39" x14ac:dyDescent="0.25">
      <c r="A142" s="9">
        <v>475</v>
      </c>
      <c r="B142" s="2" t="s">
        <v>228</v>
      </c>
      <c r="C142" s="3" t="s">
        <v>26</v>
      </c>
      <c r="D142" s="3" t="s">
        <v>22</v>
      </c>
      <c r="E142" s="1">
        <v>68</v>
      </c>
      <c r="F142" s="1">
        <v>125</v>
      </c>
      <c r="G142" s="1">
        <v>65</v>
      </c>
      <c r="H142" s="1">
        <v>65</v>
      </c>
      <c r="I142" s="1">
        <v>115</v>
      </c>
      <c r="J142" s="1">
        <v>80</v>
      </c>
      <c r="K142" s="1" t="s">
        <v>422</v>
      </c>
      <c r="L142" s="2" t="s">
        <v>298</v>
      </c>
      <c r="M142" s="1" t="s">
        <v>299</v>
      </c>
      <c r="N142" s="9">
        <f t="shared" ref="N142:N217" si="89">(0.4*J142 + 0.5*MAX(F142,H142) + 0.1*MIN(F142,H142)) / 10</f>
        <v>10.1</v>
      </c>
      <c r="O142" s="9">
        <f t="shared" ref="O142:O217" si="90">(0.4*E142 + 0.3*G142 + 0.3*I142) / 10</f>
        <v>8.120000000000001</v>
      </c>
      <c r="P142" s="9">
        <v>0</v>
      </c>
      <c r="Q142" s="9">
        <v>0</v>
      </c>
      <c r="R142" s="12">
        <f t="shared" ref="R142:R217" si="91">ROUND(N142,0)+P142</f>
        <v>10</v>
      </c>
      <c r="S142" s="12">
        <f t="shared" ref="S142:S217" si="92">ROUND(O142,0)+Q142</f>
        <v>8</v>
      </c>
      <c r="T142" s="12">
        <f t="shared" ref="T142:T217" si="93">SUM(ROUND(R142,0),ROUND(S142,0))</f>
        <v>18</v>
      </c>
      <c r="U142" s="1" t="str">
        <f t="shared" si="87"/>
        <v>psychic</v>
      </c>
      <c r="V142" s="1" t="str">
        <f t="shared" si="78"/>
        <v>fighting</v>
      </c>
      <c r="W142" s="1" t="s">
        <v>2</v>
      </c>
      <c r="X142" s="1" t="s">
        <v>3</v>
      </c>
      <c r="Z142" s="12" t="str">
        <f t="shared" si="88"/>
        <v/>
      </c>
      <c r="AA142" t="str">
        <f t="shared" si="70"/>
        <v>Gallade</v>
      </c>
      <c r="AB142" s="2"/>
      <c r="AC142" t="s">
        <v>495</v>
      </c>
      <c r="AD142" s="8" t="str">
        <f>VLOOKUP(AC142,moves!A:B,2,FALSE)</f>
        <v>fighting</v>
      </c>
      <c r="AE142" s="8">
        <f>VLOOKUP(AC142,moves!A:D,4,FALSE)</f>
        <v>5</v>
      </c>
      <c r="AF142" s="8" t="str">
        <f>VLOOKUP(AC142,moves!A:E,5,FALSE)</f>
        <v xml:space="preserve">During this attack and when the user is next attacked, status symbols deal +1 damage. </v>
      </c>
      <c r="AG142" s="6">
        <v>0</v>
      </c>
      <c r="AH142" s="6">
        <v>0</v>
      </c>
      <c r="AI142" s="8" t="str" cm="1">
        <f t="array" ref="AI142">_xlfn.IFS(AG142=1, "starter", AH142=1, "legendary",T142&lt; 13, "weak",T142&lt; 17, "moderate", TRUE, "strong")</f>
        <v>strong</v>
      </c>
      <c r="AK142">
        <v>3</v>
      </c>
      <c r="AL142" s="8">
        <v>0</v>
      </c>
      <c r="AM142" s="8">
        <v>0</v>
      </c>
    </row>
    <row r="143" spans="1:39" x14ac:dyDescent="0.25">
      <c r="A143" s="9">
        <v>299</v>
      </c>
      <c r="B143" s="2" t="s">
        <v>120</v>
      </c>
      <c r="C143" s="3" t="s">
        <v>33</v>
      </c>
      <c r="E143" s="1">
        <v>30</v>
      </c>
      <c r="F143" s="1">
        <v>45</v>
      </c>
      <c r="G143" s="1">
        <v>135</v>
      </c>
      <c r="H143" s="1">
        <v>45</v>
      </c>
      <c r="I143" s="1">
        <v>90</v>
      </c>
      <c r="J143" s="1">
        <v>30</v>
      </c>
      <c r="K143" s="1" t="s">
        <v>423</v>
      </c>
      <c r="L143" s="1" t="s">
        <v>301</v>
      </c>
      <c r="M143" s="2" t="s">
        <v>299</v>
      </c>
      <c r="N143" s="9">
        <f t="shared" si="89"/>
        <v>3.9</v>
      </c>
      <c r="O143" s="9">
        <f t="shared" si="90"/>
        <v>7.95</v>
      </c>
      <c r="P143" s="9">
        <v>0</v>
      </c>
      <c r="Q143" s="9">
        <v>0</v>
      </c>
      <c r="R143" s="12">
        <f t="shared" si="91"/>
        <v>4</v>
      </c>
      <c r="S143" s="12">
        <f t="shared" si="92"/>
        <v>8</v>
      </c>
      <c r="T143" s="12">
        <f t="shared" si="93"/>
        <v>12</v>
      </c>
      <c r="U143" s="1" t="str">
        <f t="shared" si="87"/>
        <v>rock</v>
      </c>
      <c r="V143" s="3" t="s">
        <v>39</v>
      </c>
      <c r="W143" s="1" t="s">
        <v>11</v>
      </c>
      <c r="X143" s="9" t="s">
        <v>22</v>
      </c>
      <c r="Y143" s="1" t="str">
        <f>B144</f>
        <v>Probopass</v>
      </c>
      <c r="Z143" s="12">
        <f t="shared" si="88"/>
        <v>6</v>
      </c>
      <c r="AA143" t="str">
        <f t="shared" si="70"/>
        <v>Nosepass</v>
      </c>
      <c r="AB143" s="2"/>
      <c r="AC143" t="s">
        <v>503</v>
      </c>
      <c r="AD143" s="8" t="str">
        <f>VLOOKUP(AC143,moves!A:B,2,FALSE)</f>
        <v>rock</v>
      </c>
      <c r="AE143" s="8">
        <f>VLOOKUP(AC143,moves!A:D,4,FALSE)</f>
        <v>5</v>
      </c>
      <c r="AF143" s="8" t="str">
        <f>VLOOKUP(AC143,moves!A:E,5,FALSE)</f>
        <v>Status symbols deal -2 damage.</v>
      </c>
      <c r="AG143" s="6">
        <v>0</v>
      </c>
      <c r="AH143" s="6">
        <v>0</v>
      </c>
      <c r="AI143" s="8" t="str" cm="1">
        <f t="array" ref="AI143">_xlfn.IFS(AG143=1, "starter", AH143=1, "legendary",T143&lt; 13, "weak",T143&lt; 17, "moderate", TRUE, "strong")</f>
        <v>weak</v>
      </c>
      <c r="AK143">
        <v>1</v>
      </c>
      <c r="AL143" s="8">
        <v>0</v>
      </c>
      <c r="AM143" s="8">
        <v>0</v>
      </c>
    </row>
    <row r="144" spans="1:39" x14ac:dyDescent="0.25">
      <c r="A144" s="9">
        <v>476</v>
      </c>
      <c r="B144" s="2" t="s">
        <v>229</v>
      </c>
      <c r="C144" s="3" t="s">
        <v>33</v>
      </c>
      <c r="D144" s="3" t="s">
        <v>39</v>
      </c>
      <c r="E144" s="1">
        <v>60</v>
      </c>
      <c r="F144" s="1">
        <v>55</v>
      </c>
      <c r="G144" s="1">
        <v>145</v>
      </c>
      <c r="H144" s="1">
        <v>75</v>
      </c>
      <c r="I144" s="1">
        <v>150</v>
      </c>
      <c r="J144" s="1">
        <v>40</v>
      </c>
      <c r="K144" s="1" t="s">
        <v>423</v>
      </c>
      <c r="L144" s="1" t="s">
        <v>301</v>
      </c>
      <c r="M144" s="2" t="s">
        <v>299</v>
      </c>
      <c r="N144" s="9">
        <f t="shared" si="89"/>
        <v>5.9</v>
      </c>
      <c r="O144" s="9">
        <f t="shared" si="90"/>
        <v>11.25</v>
      </c>
      <c r="P144" s="9">
        <v>0</v>
      </c>
      <c r="Q144" s="9">
        <v>0</v>
      </c>
      <c r="R144" s="12">
        <f t="shared" si="91"/>
        <v>6</v>
      </c>
      <c r="S144" s="12">
        <f t="shared" si="92"/>
        <v>11</v>
      </c>
      <c r="T144" s="12">
        <f t="shared" si="93"/>
        <v>17</v>
      </c>
      <c r="U144" s="1" t="str">
        <f t="shared" si="87"/>
        <v>rock</v>
      </c>
      <c r="V144" s="1" t="str">
        <f>IF(D144 = 0, "", D144)</f>
        <v>steel</v>
      </c>
      <c r="W144" s="1" t="s">
        <v>11</v>
      </c>
      <c r="X144" s="9" t="s">
        <v>22</v>
      </c>
      <c r="Z144" s="12" t="str">
        <f t="shared" si="88"/>
        <v/>
      </c>
      <c r="AA144" t="str">
        <f t="shared" si="70"/>
        <v>Probopass</v>
      </c>
      <c r="AB144" s="2"/>
      <c r="AC144" t="s">
        <v>581</v>
      </c>
      <c r="AD144" s="8" t="str">
        <f>VLOOKUP(AC144,moves!A:B,2,FALSE)</f>
        <v>electric</v>
      </c>
      <c r="AE144" s="8">
        <f>VLOOKUP(AC144,moves!A:D,4,FALSE)</f>
        <v>5</v>
      </c>
      <c r="AF144" s="8" t="str">
        <f>VLOOKUP(AC144,moves!A:E,5,FALSE)</f>
        <v>Inflict the Paralysed status on the target. Status symbols deal -2 damage.</v>
      </c>
      <c r="AG144" s="6">
        <v>0</v>
      </c>
      <c r="AH144" s="6">
        <v>0</v>
      </c>
      <c r="AI144" s="8" t="str" cm="1">
        <f t="array" ref="AI144">_xlfn.IFS(AG144=1, "starter", AH144=1, "legendary",T144&lt; 13, "weak",T144&lt; 17, "moderate", TRUE, "strong")</f>
        <v>strong</v>
      </c>
      <c r="AK144">
        <v>2</v>
      </c>
      <c r="AL144" s="8">
        <v>0</v>
      </c>
      <c r="AM144" s="8">
        <v>0</v>
      </c>
    </row>
    <row r="145" spans="1:39" x14ac:dyDescent="0.25">
      <c r="A145" s="9">
        <v>355</v>
      </c>
      <c r="B145" s="2" t="s">
        <v>128</v>
      </c>
      <c r="C145" s="3" t="s">
        <v>42</v>
      </c>
      <c r="E145" s="1">
        <v>20</v>
      </c>
      <c r="F145" s="1">
        <v>40</v>
      </c>
      <c r="G145" s="1">
        <v>90</v>
      </c>
      <c r="H145" s="1">
        <v>30</v>
      </c>
      <c r="I145" s="1">
        <v>90</v>
      </c>
      <c r="J145" s="1">
        <v>25</v>
      </c>
      <c r="K145" s="1" t="s">
        <v>424</v>
      </c>
      <c r="L145" s="1" t="s">
        <v>304</v>
      </c>
      <c r="M145" s="1" t="s">
        <v>299</v>
      </c>
      <c r="N145" s="9">
        <f t="shared" si="89"/>
        <v>3.3</v>
      </c>
      <c r="O145" s="9">
        <f t="shared" si="90"/>
        <v>6.2</v>
      </c>
      <c r="P145" s="9">
        <v>0</v>
      </c>
      <c r="Q145" s="9">
        <v>1</v>
      </c>
      <c r="R145" s="12">
        <f t="shared" si="91"/>
        <v>3</v>
      </c>
      <c r="S145" s="12">
        <f t="shared" si="92"/>
        <v>7</v>
      </c>
      <c r="T145" s="12">
        <f t="shared" si="93"/>
        <v>10</v>
      </c>
      <c r="U145" s="1" t="str">
        <f t="shared" si="87"/>
        <v>ghost</v>
      </c>
      <c r="V145" s="1" t="s">
        <v>14</v>
      </c>
      <c r="W145" s="1" t="s">
        <v>13</v>
      </c>
      <c r="X145" s="1" t="s">
        <v>22</v>
      </c>
      <c r="Y145" s="1" t="str">
        <f>B146</f>
        <v>Dusclops</v>
      </c>
      <c r="Z145" s="12">
        <f t="shared" si="88"/>
        <v>4</v>
      </c>
      <c r="AA145" t="str">
        <f t="shared" si="70"/>
        <v>Duskull</v>
      </c>
      <c r="AB145" s="2"/>
      <c r="AC145" t="s">
        <v>552</v>
      </c>
      <c r="AD145" s="8" t="str">
        <f>VLOOKUP(AC145,moves!A:B,2,FALSE)</f>
        <v>ghost</v>
      </c>
      <c r="AE145" s="8">
        <f>VLOOKUP(AC145,moves!A:D,4,FALSE)</f>
        <v>1</v>
      </c>
      <c r="AF145" s="8" t="str">
        <f>VLOOKUP(AC145,moves!A:E,5,FALSE)</f>
        <v>Inflict the Confused status on the target. If the target is already Confused, attack strength is increased to 3.</v>
      </c>
      <c r="AG145" s="6">
        <v>1</v>
      </c>
      <c r="AH145" s="6">
        <v>0</v>
      </c>
      <c r="AI145" s="8" t="str" cm="1">
        <f t="array" ref="AI145">_xlfn.IFS(AG145=1, "starter", AH145=1, "legendary",T145&lt; 13, "weak",T145&lt; 17, "moderate", TRUE, "strong")</f>
        <v>starter</v>
      </c>
      <c r="AK145">
        <v>1</v>
      </c>
      <c r="AL145" s="8">
        <v>0</v>
      </c>
      <c r="AM145" s="8">
        <v>0</v>
      </c>
    </row>
    <row r="146" spans="1:39" x14ac:dyDescent="0.25">
      <c r="A146" s="9">
        <v>356</v>
      </c>
      <c r="B146" s="2" t="s">
        <v>129</v>
      </c>
      <c r="C146" s="3" t="s">
        <v>42</v>
      </c>
      <c r="E146" s="1">
        <v>40</v>
      </c>
      <c r="F146" s="1">
        <v>70</v>
      </c>
      <c r="G146" s="1">
        <v>130</v>
      </c>
      <c r="H146" s="1">
        <v>60</v>
      </c>
      <c r="I146" s="1">
        <v>130</v>
      </c>
      <c r="J146" s="1">
        <v>25</v>
      </c>
      <c r="K146" s="1" t="s">
        <v>425</v>
      </c>
      <c r="L146" s="1" t="s">
        <v>304</v>
      </c>
      <c r="M146" s="1" t="s">
        <v>299</v>
      </c>
      <c r="N146" s="9">
        <f t="shared" si="89"/>
        <v>5.0999999999999996</v>
      </c>
      <c r="O146" s="9">
        <f t="shared" si="90"/>
        <v>9.4</v>
      </c>
      <c r="P146" s="9">
        <v>0</v>
      </c>
      <c r="Q146" s="9">
        <v>0</v>
      </c>
      <c r="R146" s="12">
        <f t="shared" si="91"/>
        <v>5</v>
      </c>
      <c r="S146" s="12">
        <f t="shared" si="92"/>
        <v>9</v>
      </c>
      <c r="T146" s="12">
        <f t="shared" si="93"/>
        <v>14</v>
      </c>
      <c r="U146" s="1" t="str">
        <f t="shared" si="87"/>
        <v>ghost</v>
      </c>
      <c r="V146" s="1" t="s">
        <v>14</v>
      </c>
      <c r="W146" s="1" t="s">
        <v>13</v>
      </c>
      <c r="X146" s="1" t="s">
        <v>22</v>
      </c>
      <c r="Y146" s="1" t="str">
        <f>B147</f>
        <v>Dusknoir</v>
      </c>
      <c r="Z146" s="12">
        <f t="shared" si="88"/>
        <v>6</v>
      </c>
      <c r="AA146" t="str">
        <f t="shared" si="70"/>
        <v>Dusclops</v>
      </c>
      <c r="AB146" s="2"/>
      <c r="AC146" t="s">
        <v>504</v>
      </c>
      <c r="AD146" s="8" t="str">
        <f>VLOOKUP(AC146,moves!A:B,2,FALSE)</f>
        <v>ghost</v>
      </c>
      <c r="AE146" s="8">
        <f>VLOOKUP(AC146,moves!A:D,4,FALSE)</f>
        <v>3</v>
      </c>
      <c r="AF146" s="8" t="str">
        <f>VLOOKUP(AC146,moves!A:E,5,FALSE)</f>
        <v>If the target has a status effect, this move deals double damage.</v>
      </c>
      <c r="AG146" s="6">
        <v>0</v>
      </c>
      <c r="AH146" s="6">
        <v>0</v>
      </c>
      <c r="AI146" s="8" t="str" cm="1">
        <f t="array" ref="AI146">_xlfn.IFS(AG146=1, "starter", AH146=1, "legendary",T146&lt; 13, "weak",T146&lt; 17, "moderate", TRUE, "strong")</f>
        <v>moderate</v>
      </c>
      <c r="AK146">
        <v>2</v>
      </c>
      <c r="AL146" s="8">
        <v>0</v>
      </c>
      <c r="AM146" s="8">
        <v>0</v>
      </c>
    </row>
    <row r="147" spans="1:39" x14ac:dyDescent="0.25">
      <c r="A147" s="9">
        <v>477</v>
      </c>
      <c r="B147" s="2" t="s">
        <v>230</v>
      </c>
      <c r="C147" s="3" t="s">
        <v>42</v>
      </c>
      <c r="E147" s="1">
        <v>45</v>
      </c>
      <c r="F147" s="1">
        <v>100</v>
      </c>
      <c r="G147" s="1">
        <v>135</v>
      </c>
      <c r="H147" s="1">
        <v>65</v>
      </c>
      <c r="I147" s="1">
        <v>135</v>
      </c>
      <c r="J147" s="1">
        <v>45</v>
      </c>
      <c r="K147" s="1" t="s">
        <v>426</v>
      </c>
      <c r="L147" s="1" t="s">
        <v>304</v>
      </c>
      <c r="M147" s="1" t="s">
        <v>299</v>
      </c>
      <c r="N147" s="9">
        <f t="shared" si="89"/>
        <v>7.45</v>
      </c>
      <c r="O147" s="9">
        <f t="shared" si="90"/>
        <v>9.9</v>
      </c>
      <c r="P147" s="9">
        <v>0</v>
      </c>
      <c r="Q147" s="9">
        <v>1</v>
      </c>
      <c r="R147" s="12">
        <f t="shared" si="91"/>
        <v>7</v>
      </c>
      <c r="S147" s="12">
        <f t="shared" si="92"/>
        <v>11</v>
      </c>
      <c r="T147" s="12">
        <f t="shared" si="93"/>
        <v>18</v>
      </c>
      <c r="U147" s="1" t="str">
        <f t="shared" si="87"/>
        <v>ghost</v>
      </c>
      <c r="V147" s="1" t="s">
        <v>14</v>
      </c>
      <c r="W147" s="1" t="s">
        <v>13</v>
      </c>
      <c r="X147" s="1" t="s">
        <v>22</v>
      </c>
      <c r="Z147" s="12" t="str">
        <f>IF(ISBLANK(Y147), "", ROUND(( (T149-6)*(T149-7) - (T147-6)*(T147-7) )/15, 0) + 1)</f>
        <v/>
      </c>
      <c r="AA147" t="str">
        <f t="shared" si="70"/>
        <v>Dusknoir</v>
      </c>
      <c r="AB147" s="2"/>
      <c r="AC147" t="s">
        <v>614</v>
      </c>
      <c r="AD147" s="8" t="str">
        <f>VLOOKUP(AC147,moves!A:B,2,FALSE)</f>
        <v>ice</v>
      </c>
      <c r="AE147" s="8">
        <f>VLOOKUP(AC147,moves!A:D,4,FALSE)</f>
        <v>4</v>
      </c>
      <c r="AF147" s="8" t="str">
        <f>VLOOKUP(AC147,moves!A:E,5,FALSE)</f>
        <v>If a status symbol is rolled: Inflict the Frozen status on the target.</v>
      </c>
      <c r="AG147" s="6">
        <v>0</v>
      </c>
      <c r="AH147" s="6">
        <v>0</v>
      </c>
      <c r="AI147" s="8" t="str" cm="1">
        <f t="array" ref="AI147">_xlfn.IFS(AG147=1, "starter", AH147=1, "legendary",T147&lt; 13, "weak",T147&lt; 17, "moderate", TRUE, "strong")</f>
        <v>strong</v>
      </c>
      <c r="AK147">
        <v>3</v>
      </c>
      <c r="AL147" s="8">
        <v>0</v>
      </c>
      <c r="AM147" s="8">
        <v>1</v>
      </c>
    </row>
    <row r="148" spans="1:39" s="8" customFormat="1" x14ac:dyDescent="0.25">
      <c r="A148" s="9" t="s">
        <v>1301</v>
      </c>
      <c r="B148" s="10" t="s">
        <v>230</v>
      </c>
      <c r="C148" s="3" t="s">
        <v>42</v>
      </c>
      <c r="D148" s="3"/>
      <c r="E148" s="9">
        <v>45</v>
      </c>
      <c r="F148" s="9">
        <v>100</v>
      </c>
      <c r="G148" s="9">
        <v>135</v>
      </c>
      <c r="H148" s="9">
        <v>65</v>
      </c>
      <c r="I148" s="9">
        <v>135</v>
      </c>
      <c r="J148" s="9">
        <v>45</v>
      </c>
      <c r="K148" s="9" t="s">
        <v>426</v>
      </c>
      <c r="L148" s="9" t="s">
        <v>304</v>
      </c>
      <c r="M148" s="9" t="s">
        <v>299</v>
      </c>
      <c r="N148" s="9">
        <f t="shared" ref="N148" si="94">(0.4*J148 + 0.5*MAX(F148,H148) + 0.1*MIN(F148,H148)) / 10</f>
        <v>7.45</v>
      </c>
      <c r="O148" s="9">
        <f t="shared" ref="O148" si="95">(0.4*E148 + 0.3*G148 + 0.3*I148) / 10</f>
        <v>9.9</v>
      </c>
      <c r="P148" s="9">
        <v>1</v>
      </c>
      <c r="Q148" s="9">
        <v>3</v>
      </c>
      <c r="R148" s="12">
        <f t="shared" ref="R148" si="96">ROUND(N148,0)+P148</f>
        <v>8</v>
      </c>
      <c r="S148" s="12">
        <f t="shared" ref="S148" si="97">ROUND(O148,0)+Q148</f>
        <v>13</v>
      </c>
      <c r="T148" s="12">
        <f t="shared" ref="T148" si="98">SUM(ROUND(R148,0),ROUND(S148,0))</f>
        <v>21</v>
      </c>
      <c r="U148" s="9" t="str">
        <f t="shared" ref="U148" si="99">C148</f>
        <v>ghost</v>
      </c>
      <c r="V148" s="9" t="s">
        <v>14</v>
      </c>
      <c r="W148" s="9" t="s">
        <v>13</v>
      </c>
      <c r="X148" s="9" t="s">
        <v>22</v>
      </c>
      <c r="Y148" s="9"/>
      <c r="Z148" s="12" t="str">
        <f>IF(ISBLANK(Y148), "", ROUND(( (T150-6)*(T150-7) - (T148-6)*(T148-7) )/15, 0) + 1)</f>
        <v/>
      </c>
      <c r="AA148" s="8" t="str">
        <f t="shared" ref="AA148" si="100">B148</f>
        <v>Dusknoir</v>
      </c>
      <c r="AB148" s="10" t="s">
        <v>1338</v>
      </c>
      <c r="AC148" s="8" t="s">
        <v>614</v>
      </c>
      <c r="AD148" s="8" t="str">
        <f>VLOOKUP(AC148,moves!A:B,2,FALSE)</f>
        <v>ice</v>
      </c>
      <c r="AE148" s="8">
        <f>VLOOKUP(AC148,moves!A:D,4,FALSE)</f>
        <v>4</v>
      </c>
      <c r="AF148" s="8" t="str">
        <f>VLOOKUP(AC148,moves!A:E,5,FALSE)</f>
        <v>If a status symbol is rolled: Inflict the Frozen status on the target.</v>
      </c>
      <c r="AG148" s="11">
        <v>0</v>
      </c>
      <c r="AH148" s="11">
        <v>1</v>
      </c>
      <c r="AI148" s="8" t="str" cm="1">
        <f t="array" ref="AI148">_xlfn.IFS(AG148=1, "starter", AH148=1, "legendary",T148&lt; 13, "weak",T148&lt; 17, "moderate", TRUE, "strong")</f>
        <v>legendary</v>
      </c>
      <c r="AK148" s="8">
        <v>3</v>
      </c>
      <c r="AL148" s="8">
        <v>0</v>
      </c>
      <c r="AM148" s="8">
        <v>2</v>
      </c>
    </row>
    <row r="149" spans="1:39" x14ac:dyDescent="0.25">
      <c r="A149" s="9">
        <v>361</v>
      </c>
      <c r="B149" s="2" t="s">
        <v>132</v>
      </c>
      <c r="C149" s="3" t="s">
        <v>14</v>
      </c>
      <c r="E149" s="1">
        <v>50</v>
      </c>
      <c r="F149" s="1">
        <v>50</v>
      </c>
      <c r="G149" s="1">
        <v>50</v>
      </c>
      <c r="H149" s="1">
        <v>50</v>
      </c>
      <c r="I149" s="1">
        <v>50</v>
      </c>
      <c r="J149" s="1">
        <v>50</v>
      </c>
      <c r="K149" s="1" t="s">
        <v>427</v>
      </c>
      <c r="L149" s="1" t="s">
        <v>301</v>
      </c>
      <c r="M149" s="1" t="s">
        <v>299</v>
      </c>
      <c r="N149" s="9">
        <f t="shared" si="89"/>
        <v>5</v>
      </c>
      <c r="O149" s="9">
        <f t="shared" si="90"/>
        <v>5</v>
      </c>
      <c r="P149" s="9">
        <v>0</v>
      </c>
      <c r="Q149" s="9">
        <v>0</v>
      </c>
      <c r="R149" s="12">
        <f t="shared" si="91"/>
        <v>5</v>
      </c>
      <c r="S149" s="12">
        <f t="shared" si="92"/>
        <v>5</v>
      </c>
      <c r="T149" s="12">
        <f t="shared" si="93"/>
        <v>10</v>
      </c>
      <c r="U149" s="1" t="str">
        <f t="shared" si="87"/>
        <v>ice</v>
      </c>
      <c r="V149" s="3" t="s">
        <v>8</v>
      </c>
      <c r="W149" s="1" t="s">
        <v>9</v>
      </c>
      <c r="X149" s="1" t="s">
        <v>42</v>
      </c>
      <c r="Y149" s="1" t="s">
        <v>466</v>
      </c>
      <c r="Z149" s="12">
        <f t="shared" si="88"/>
        <v>6</v>
      </c>
      <c r="AA149" t="str">
        <f t="shared" si="70"/>
        <v>Snorunt</v>
      </c>
      <c r="AB149" s="2"/>
      <c r="AC149" t="s">
        <v>493</v>
      </c>
      <c r="AD149" s="8" t="str">
        <f>VLOOKUP(AC149,moves!A:B,2,FALSE)</f>
        <v>ice</v>
      </c>
      <c r="AE149" s="8">
        <f>VLOOKUP(AC149,moves!A:D,4,FALSE)</f>
        <v>2</v>
      </c>
      <c r="AF149" s="8" t="str">
        <f>VLOOKUP(AC149,moves!A:E,5,FALSE)</f>
        <v>Inflict the Frozen status on the target.</v>
      </c>
      <c r="AG149" s="6">
        <v>0</v>
      </c>
      <c r="AH149" s="6">
        <v>0</v>
      </c>
      <c r="AI149" s="8" t="str" cm="1">
        <f t="array" ref="AI149">_xlfn.IFS(AG149=1, "starter", AH149=1, "legendary",T149&lt; 13, "weak",T149&lt; 17, "moderate", TRUE, "strong")</f>
        <v>weak</v>
      </c>
      <c r="AK149">
        <v>1</v>
      </c>
      <c r="AL149" s="8">
        <v>0</v>
      </c>
      <c r="AM149" s="8">
        <v>0</v>
      </c>
    </row>
    <row r="150" spans="1:39" x14ac:dyDescent="0.25">
      <c r="A150" s="9">
        <v>362</v>
      </c>
      <c r="B150" s="2" t="s">
        <v>133</v>
      </c>
      <c r="C150" s="3" t="s">
        <v>14</v>
      </c>
      <c r="E150" s="1">
        <v>80</v>
      </c>
      <c r="F150" s="1">
        <v>80</v>
      </c>
      <c r="G150" s="1">
        <v>80</v>
      </c>
      <c r="H150" s="1">
        <v>80</v>
      </c>
      <c r="I150" s="1">
        <v>80</v>
      </c>
      <c r="J150" s="1">
        <v>80</v>
      </c>
      <c r="K150" s="1" t="s">
        <v>428</v>
      </c>
      <c r="L150" s="1" t="s">
        <v>301</v>
      </c>
      <c r="M150" s="1" t="s">
        <v>299</v>
      </c>
      <c r="N150" s="9">
        <f t="shared" si="89"/>
        <v>8</v>
      </c>
      <c r="O150" s="9">
        <f t="shared" si="90"/>
        <v>8</v>
      </c>
      <c r="P150" s="9">
        <v>0</v>
      </c>
      <c r="Q150" s="9">
        <v>0</v>
      </c>
      <c r="R150" s="12">
        <f t="shared" si="91"/>
        <v>8</v>
      </c>
      <c r="S150" s="12">
        <f t="shared" si="92"/>
        <v>8</v>
      </c>
      <c r="T150" s="12">
        <f t="shared" si="93"/>
        <v>16</v>
      </c>
      <c r="U150" s="1" t="str">
        <f t="shared" si="87"/>
        <v>ice</v>
      </c>
      <c r="V150" s="3" t="s">
        <v>8</v>
      </c>
      <c r="W150" s="1" t="s">
        <v>9</v>
      </c>
      <c r="X150" s="1" t="s">
        <v>13</v>
      </c>
      <c r="Z150" s="12" t="str">
        <f t="shared" si="88"/>
        <v/>
      </c>
      <c r="AA150" t="str">
        <f t="shared" si="70"/>
        <v>Glalie</v>
      </c>
      <c r="AB150" s="2"/>
      <c r="AC150" t="s">
        <v>507</v>
      </c>
      <c r="AD150" s="8" t="str">
        <f>VLOOKUP(AC150,moves!A:B,2,FALSE)</f>
        <v>dark</v>
      </c>
      <c r="AE150" s="8">
        <f>VLOOKUP(AC150,moves!A:D,4,FALSE)</f>
        <v>4</v>
      </c>
      <c r="AF150" s="8" t="str">
        <f>VLOOKUP(AC150,moves!A:E,5,FALSE)</f>
        <v>When the target is next attacked, add a regular hit to the roll.</v>
      </c>
      <c r="AG150" s="6">
        <v>0</v>
      </c>
      <c r="AH150" s="6">
        <v>0</v>
      </c>
      <c r="AI150" s="8" t="str" cm="1">
        <f t="array" ref="AI150">_xlfn.IFS(AG150=1, "starter", AH150=1, "legendary",T150&lt; 13, "weak",T150&lt; 17, "moderate", TRUE, "strong")</f>
        <v>moderate</v>
      </c>
      <c r="AK150">
        <v>2</v>
      </c>
      <c r="AL150" s="8">
        <v>0</v>
      </c>
      <c r="AM150" s="8">
        <v>0</v>
      </c>
    </row>
    <row r="151" spans="1:39" x14ac:dyDescent="0.25">
      <c r="A151" s="9">
        <v>478</v>
      </c>
      <c r="B151" s="2" t="s">
        <v>231</v>
      </c>
      <c r="C151" s="3" t="s">
        <v>14</v>
      </c>
      <c r="D151" s="3" t="s">
        <v>42</v>
      </c>
      <c r="E151" s="1">
        <v>70</v>
      </c>
      <c r="F151" s="1">
        <v>80</v>
      </c>
      <c r="G151" s="1">
        <v>70</v>
      </c>
      <c r="H151" s="1">
        <v>80</v>
      </c>
      <c r="I151" s="1">
        <v>70</v>
      </c>
      <c r="J151" s="1">
        <v>110</v>
      </c>
      <c r="K151" s="1" t="s">
        <v>429</v>
      </c>
      <c r="L151" s="1" t="s">
        <v>301</v>
      </c>
      <c r="M151" s="1" t="s">
        <v>299</v>
      </c>
      <c r="N151" s="9">
        <f t="shared" si="89"/>
        <v>9.1999999999999993</v>
      </c>
      <c r="O151" s="9">
        <f t="shared" si="90"/>
        <v>7</v>
      </c>
      <c r="P151" s="9">
        <v>0</v>
      </c>
      <c r="Q151" s="9">
        <v>0</v>
      </c>
      <c r="R151" s="12">
        <f t="shared" si="91"/>
        <v>9</v>
      </c>
      <c r="S151" s="12">
        <f t="shared" si="92"/>
        <v>7</v>
      </c>
      <c r="T151" s="12">
        <f t="shared" si="93"/>
        <v>16</v>
      </c>
      <c r="U151" s="1" t="str">
        <f t="shared" si="87"/>
        <v>ice</v>
      </c>
      <c r="V151" s="3" t="s">
        <v>8</v>
      </c>
      <c r="W151" s="1" t="s">
        <v>42</v>
      </c>
      <c r="X151" s="1" t="s">
        <v>16</v>
      </c>
      <c r="Z151" s="12" t="str">
        <f t="shared" si="88"/>
        <v/>
      </c>
      <c r="AA151" t="str">
        <f t="shared" si="70"/>
        <v>Froslass</v>
      </c>
      <c r="AB151" s="2"/>
      <c r="AC151" t="s">
        <v>572</v>
      </c>
      <c r="AD151" s="8" t="str">
        <f>VLOOKUP(AC151,moves!A:B,2,FALSE)</f>
        <v>ghost</v>
      </c>
      <c r="AE151" s="8">
        <f>VLOOKUP(AC151,moves!A:D,4,FALSE)</f>
        <v>4</v>
      </c>
      <c r="AF151" s="8" t="str">
        <f>VLOOKUP(AC151,moves!A:E,5,FALSE)</f>
        <v>When the target is next attacked, add a regular hit to the roll.</v>
      </c>
      <c r="AG151" s="6">
        <v>0</v>
      </c>
      <c r="AH151" s="6">
        <v>0</v>
      </c>
      <c r="AI151" s="8" t="str" cm="1">
        <f t="array" ref="AI151">_xlfn.IFS(AG151=1, "starter", AH151=1, "legendary",T151&lt; 13, "weak",T151&lt; 17, "moderate", TRUE, "strong")</f>
        <v>moderate</v>
      </c>
      <c r="AK151">
        <v>2</v>
      </c>
      <c r="AL151" s="8">
        <v>0</v>
      </c>
      <c r="AM151" s="8">
        <v>0</v>
      </c>
    </row>
    <row r="152" spans="1:39" x14ac:dyDescent="0.25">
      <c r="A152" s="9">
        <v>479</v>
      </c>
      <c r="B152" s="2" t="s">
        <v>232</v>
      </c>
      <c r="C152" s="5" t="s">
        <v>11</v>
      </c>
      <c r="D152" s="3" t="s">
        <v>42</v>
      </c>
      <c r="E152" s="1">
        <v>50</v>
      </c>
      <c r="F152" s="1">
        <v>65</v>
      </c>
      <c r="G152" s="1">
        <v>107</v>
      </c>
      <c r="H152" s="1">
        <v>105</v>
      </c>
      <c r="I152" s="1">
        <v>107</v>
      </c>
      <c r="J152" s="1">
        <v>86</v>
      </c>
      <c r="K152" s="4" t="s">
        <v>463</v>
      </c>
      <c r="L152" s="1" t="s">
        <v>298</v>
      </c>
      <c r="M152" s="1" t="s">
        <v>299</v>
      </c>
      <c r="N152" s="9">
        <f t="shared" si="89"/>
        <v>9.34</v>
      </c>
      <c r="O152" s="9">
        <f t="shared" si="90"/>
        <v>8.42</v>
      </c>
      <c r="P152" s="9">
        <v>3</v>
      </c>
      <c r="Q152" s="9">
        <v>0</v>
      </c>
      <c r="R152" s="12">
        <f t="shared" si="91"/>
        <v>12</v>
      </c>
      <c r="S152" s="12">
        <f t="shared" si="92"/>
        <v>8</v>
      </c>
      <c r="T152" s="12">
        <f t="shared" si="93"/>
        <v>20</v>
      </c>
      <c r="U152" s="1" t="str">
        <f t="shared" si="87"/>
        <v>electric</v>
      </c>
      <c r="V152" s="1" t="str">
        <f t="shared" ref="V152:V162" si="101">IF(D152 = 0, "", D152)</f>
        <v>ghost</v>
      </c>
      <c r="W152" s="1" t="s">
        <v>8</v>
      </c>
      <c r="X152" s="1" t="s">
        <v>26</v>
      </c>
      <c r="Z152" s="12" t="str">
        <f t="shared" ref="Z152:Z157" si="102">IF(ISBLANK(Y152), "", ROUND(( (T158-6)*(T158-7) - (T152-6)*(T152-7) )/15, 0) + 1)</f>
        <v/>
      </c>
      <c r="AA152" t="str">
        <f t="shared" si="70"/>
        <v>Rotom</v>
      </c>
      <c r="AB152" s="2"/>
      <c r="AC152" t="s">
        <v>551</v>
      </c>
      <c r="AD152" s="8" t="str">
        <f>VLOOKUP(AC152,moves!A:B,2,FALSE)</f>
        <v>ghost</v>
      </c>
      <c r="AE152" s="8">
        <f>VLOOKUP(AC152,moves!A:D,4,FALSE)</f>
        <v>4</v>
      </c>
      <c r="AF152" s="8" t="str">
        <f>VLOOKUP(AC152,moves!A:E,5,FALSE)</f>
        <v>If the target has a held item, attack strength is increased to 6.</v>
      </c>
      <c r="AG152" s="6">
        <v>0</v>
      </c>
      <c r="AH152" s="6">
        <v>1</v>
      </c>
      <c r="AI152" s="8" t="str" cm="1">
        <f t="array" ref="AI152">_xlfn.IFS(AG152=1, "starter", AH152=1, "legendary",T152&lt; 13, "weak",T152&lt; 17, "moderate", TRUE, "strong")</f>
        <v>legendary</v>
      </c>
      <c r="AK152">
        <v>1</v>
      </c>
      <c r="AL152" s="8">
        <v>0</v>
      </c>
      <c r="AM152" s="8">
        <v>1</v>
      </c>
    </row>
    <row r="153" spans="1:39" s="8" customFormat="1" x14ac:dyDescent="0.25">
      <c r="A153" s="9" t="s">
        <v>1262</v>
      </c>
      <c r="B153" s="10" t="s">
        <v>232</v>
      </c>
      <c r="C153" s="5" t="s">
        <v>11</v>
      </c>
      <c r="D153" s="3" t="s">
        <v>5</v>
      </c>
      <c r="E153" s="9">
        <v>50</v>
      </c>
      <c r="F153" s="9">
        <v>65</v>
      </c>
      <c r="G153" s="9">
        <v>107</v>
      </c>
      <c r="H153" s="9">
        <v>105</v>
      </c>
      <c r="I153" s="9">
        <v>107</v>
      </c>
      <c r="J153" s="9">
        <v>86</v>
      </c>
      <c r="K153" s="4" t="s">
        <v>463</v>
      </c>
      <c r="L153" s="9" t="s">
        <v>298</v>
      </c>
      <c r="M153" s="9" t="s">
        <v>299</v>
      </c>
      <c r="N153" s="9">
        <f t="shared" ref="N153:N155" si="103">(0.4*J153 + 0.5*MAX(F153,H153) + 0.1*MIN(F153,H153)) / 10</f>
        <v>9.34</v>
      </c>
      <c r="O153" s="9">
        <f t="shared" ref="O153:O155" si="104">(0.4*E153 + 0.3*G153 + 0.3*I153) / 10</f>
        <v>8.42</v>
      </c>
      <c r="P153" s="9">
        <v>3</v>
      </c>
      <c r="Q153" s="9">
        <v>0</v>
      </c>
      <c r="R153" s="12">
        <f t="shared" ref="R153:R155" si="105">ROUND(N153,0)+P153</f>
        <v>12</v>
      </c>
      <c r="S153" s="12">
        <f t="shared" ref="S153:S155" si="106">ROUND(O153,0)+Q153</f>
        <v>8</v>
      </c>
      <c r="T153" s="12">
        <f t="shared" ref="T153:T155" si="107">SUM(ROUND(R153,0),ROUND(S153,0))</f>
        <v>20</v>
      </c>
      <c r="U153" s="9" t="str">
        <f t="shared" ref="U153:U155" si="108">C153</f>
        <v>electric</v>
      </c>
      <c r="V153" s="9" t="str">
        <f t="shared" si="101"/>
        <v>flying</v>
      </c>
      <c r="W153" s="9" t="s">
        <v>8</v>
      </c>
      <c r="X153" s="9" t="s">
        <v>26</v>
      </c>
      <c r="Y153" s="9"/>
      <c r="Z153" s="12" t="str">
        <f t="shared" si="102"/>
        <v/>
      </c>
      <c r="AA153" s="8" t="s">
        <v>1255</v>
      </c>
      <c r="AB153" s="10" t="s">
        <v>1320</v>
      </c>
      <c r="AC153" s="8" t="s">
        <v>518</v>
      </c>
      <c r="AD153" s="8" t="str">
        <f>VLOOKUP(AC153,moves!A:B,2,FALSE)</f>
        <v>flying</v>
      </c>
      <c r="AE153" s="8">
        <f>VLOOKUP(AC153,moves!A:D,4,FALSE)</f>
        <v>4</v>
      </c>
      <c r="AF153" s="8" t="str">
        <f>VLOOKUP(AC153,moves!A:E,5,FALSE)</f>
        <v>Critical hits deal +1 damage.</v>
      </c>
      <c r="AG153" s="11">
        <v>0</v>
      </c>
      <c r="AH153" s="11">
        <v>1</v>
      </c>
      <c r="AI153" s="8" t="str" cm="1">
        <f t="array" ref="AI153">_xlfn.IFS(AG153=1, "starter", AH153=1, "legendary",T153&lt; 13, "weak",T153&lt; 17, "moderate", TRUE, "strong")</f>
        <v>legendary</v>
      </c>
      <c r="AK153" s="8">
        <v>1</v>
      </c>
      <c r="AL153" s="8">
        <v>0</v>
      </c>
      <c r="AM153" s="8">
        <v>2</v>
      </c>
    </row>
    <row r="154" spans="1:39" s="8" customFormat="1" x14ac:dyDescent="0.25">
      <c r="A154" s="9" t="s">
        <v>1263</v>
      </c>
      <c r="B154" s="10" t="s">
        <v>232</v>
      </c>
      <c r="C154" s="5" t="s">
        <v>11</v>
      </c>
      <c r="D154" s="3" t="s">
        <v>14</v>
      </c>
      <c r="E154" s="9">
        <v>50</v>
      </c>
      <c r="F154" s="9">
        <v>65</v>
      </c>
      <c r="G154" s="9">
        <v>107</v>
      </c>
      <c r="H154" s="9">
        <v>105</v>
      </c>
      <c r="I154" s="9">
        <v>107</v>
      </c>
      <c r="J154" s="9">
        <v>86</v>
      </c>
      <c r="K154" s="4" t="s">
        <v>463</v>
      </c>
      <c r="L154" s="9" t="s">
        <v>298</v>
      </c>
      <c r="M154" s="9" t="s">
        <v>299</v>
      </c>
      <c r="N154" s="9">
        <f t="shared" si="103"/>
        <v>9.34</v>
      </c>
      <c r="O154" s="9">
        <f t="shared" si="104"/>
        <v>8.42</v>
      </c>
      <c r="P154" s="9">
        <v>3</v>
      </c>
      <c r="Q154" s="9">
        <v>0</v>
      </c>
      <c r="R154" s="12">
        <f t="shared" si="105"/>
        <v>12</v>
      </c>
      <c r="S154" s="12">
        <f t="shared" si="106"/>
        <v>8</v>
      </c>
      <c r="T154" s="12">
        <f t="shared" si="107"/>
        <v>20</v>
      </c>
      <c r="U154" s="9" t="str">
        <f t="shared" si="108"/>
        <v>electric</v>
      </c>
      <c r="V154" s="9" t="str">
        <f t="shared" si="101"/>
        <v>ice</v>
      </c>
      <c r="W154" s="9" t="s">
        <v>8</v>
      </c>
      <c r="X154" s="9" t="s">
        <v>26</v>
      </c>
      <c r="Y154" s="9"/>
      <c r="Z154" s="12" t="str">
        <f t="shared" si="102"/>
        <v/>
      </c>
      <c r="AA154" s="8" t="s">
        <v>1256</v>
      </c>
      <c r="AB154" s="10" t="s">
        <v>1321</v>
      </c>
      <c r="AC154" s="8" t="s">
        <v>491</v>
      </c>
      <c r="AD154" s="8" t="str">
        <f>VLOOKUP(AC154,moves!A:B,2,FALSE)</f>
        <v>ice</v>
      </c>
      <c r="AE154" s="8">
        <f>VLOOKUP(AC154,moves!A:D,4,FALSE)</f>
        <v>5</v>
      </c>
      <c r="AF154" s="8" t="str">
        <f>VLOOKUP(AC154,moves!A:E,5,FALSE)</f>
        <v>If 2+ status symbols are rolled: Inflict the Frozen status on the target.</v>
      </c>
      <c r="AG154" s="11">
        <v>0</v>
      </c>
      <c r="AH154" s="11">
        <v>1</v>
      </c>
      <c r="AI154" s="8" t="str" cm="1">
        <f t="array" ref="AI154">_xlfn.IFS(AG154=1, "starter", AH154=1, "legendary",T154&lt; 13, "weak",T154&lt; 17, "moderate", TRUE, "strong")</f>
        <v>legendary</v>
      </c>
      <c r="AK154" s="8">
        <v>1</v>
      </c>
      <c r="AL154" s="8">
        <v>0</v>
      </c>
      <c r="AM154" s="8">
        <v>3</v>
      </c>
    </row>
    <row r="155" spans="1:39" s="8" customFormat="1" x14ac:dyDescent="0.25">
      <c r="A155" s="9" t="s">
        <v>1264</v>
      </c>
      <c r="B155" s="10" t="s">
        <v>232</v>
      </c>
      <c r="C155" s="5" t="s">
        <v>11</v>
      </c>
      <c r="D155" s="3" t="s">
        <v>4</v>
      </c>
      <c r="E155" s="9">
        <v>50</v>
      </c>
      <c r="F155" s="9">
        <v>65</v>
      </c>
      <c r="G155" s="9">
        <v>107</v>
      </c>
      <c r="H155" s="9">
        <v>105</v>
      </c>
      <c r="I155" s="9">
        <v>107</v>
      </c>
      <c r="J155" s="9">
        <v>86</v>
      </c>
      <c r="K155" s="4" t="s">
        <v>463</v>
      </c>
      <c r="L155" s="9" t="s">
        <v>298</v>
      </c>
      <c r="M155" s="9" t="s">
        <v>299</v>
      </c>
      <c r="N155" s="9">
        <f t="shared" si="103"/>
        <v>9.34</v>
      </c>
      <c r="O155" s="9">
        <f t="shared" si="104"/>
        <v>8.42</v>
      </c>
      <c r="P155" s="9">
        <v>3</v>
      </c>
      <c r="Q155" s="9">
        <v>0</v>
      </c>
      <c r="R155" s="12">
        <f t="shared" si="105"/>
        <v>12</v>
      </c>
      <c r="S155" s="12">
        <f t="shared" si="106"/>
        <v>8</v>
      </c>
      <c r="T155" s="12">
        <f t="shared" si="107"/>
        <v>20</v>
      </c>
      <c r="U155" s="9" t="str">
        <f t="shared" si="108"/>
        <v>electric</v>
      </c>
      <c r="V155" s="9" t="str">
        <f t="shared" si="101"/>
        <v>fire</v>
      </c>
      <c r="W155" s="9" t="s">
        <v>8</v>
      </c>
      <c r="X155" s="9" t="s">
        <v>26</v>
      </c>
      <c r="Y155" s="9"/>
      <c r="Z155" s="12" t="str">
        <f t="shared" si="102"/>
        <v/>
      </c>
      <c r="AA155" s="8" t="s">
        <v>1257</v>
      </c>
      <c r="AB155" s="10" t="s">
        <v>1322</v>
      </c>
      <c r="AC155" s="8" t="s">
        <v>1254</v>
      </c>
      <c r="AD155" s="8" t="str">
        <f>VLOOKUP(AC155,moves!A:B,2,FALSE)</f>
        <v>fire</v>
      </c>
      <c r="AE155" s="8">
        <f>VLOOKUP(AC155,moves!A:D,4,FALSE)</f>
        <v>5</v>
      </c>
      <c r="AF155" s="8" t="str">
        <f>VLOOKUP(AC155,moves!A:E,5,FALSE)</f>
        <v xml:space="preserve">During this attack and when the user is next attacked, status symbols deal +1 damage. </v>
      </c>
      <c r="AG155" s="11">
        <v>0</v>
      </c>
      <c r="AH155" s="11">
        <v>1</v>
      </c>
      <c r="AI155" s="8" t="str" cm="1">
        <f t="array" ref="AI155">_xlfn.IFS(AG155=1, "starter", AH155=1, "legendary",T155&lt; 13, "weak",T155&lt; 17, "moderate", TRUE, "strong")</f>
        <v>legendary</v>
      </c>
      <c r="AK155" s="8">
        <v>1</v>
      </c>
      <c r="AL155" s="8">
        <v>0</v>
      </c>
      <c r="AM155" s="8">
        <v>4</v>
      </c>
    </row>
    <row r="156" spans="1:39" s="8" customFormat="1" x14ac:dyDescent="0.25">
      <c r="A156" s="9" t="s">
        <v>1265</v>
      </c>
      <c r="B156" s="10" t="s">
        <v>232</v>
      </c>
      <c r="C156" s="5" t="s">
        <v>11</v>
      </c>
      <c r="D156" s="3" t="s">
        <v>2</v>
      </c>
      <c r="E156" s="9">
        <v>50</v>
      </c>
      <c r="F156" s="9">
        <v>65</v>
      </c>
      <c r="G156" s="9">
        <v>107</v>
      </c>
      <c r="H156" s="9">
        <v>105</v>
      </c>
      <c r="I156" s="9">
        <v>107</v>
      </c>
      <c r="J156" s="9">
        <v>86</v>
      </c>
      <c r="K156" s="4" t="s">
        <v>463</v>
      </c>
      <c r="L156" s="9" t="s">
        <v>298</v>
      </c>
      <c r="M156" s="9" t="s">
        <v>299</v>
      </c>
      <c r="N156" s="9">
        <f t="shared" ref="N156:N157" si="109">(0.4*J156 + 0.5*MAX(F156,H156) + 0.1*MIN(F156,H156)) / 10</f>
        <v>9.34</v>
      </c>
      <c r="O156" s="9">
        <f t="shared" ref="O156:O157" si="110">(0.4*E156 + 0.3*G156 + 0.3*I156) / 10</f>
        <v>8.42</v>
      </c>
      <c r="P156" s="9">
        <v>3</v>
      </c>
      <c r="Q156" s="9">
        <v>0</v>
      </c>
      <c r="R156" s="12">
        <f t="shared" ref="R156:R157" si="111">ROUND(N156,0)+P156</f>
        <v>12</v>
      </c>
      <c r="S156" s="12">
        <f t="shared" ref="S156:S157" si="112">ROUND(O156,0)+Q156</f>
        <v>8</v>
      </c>
      <c r="T156" s="12">
        <f t="shared" ref="T156:T157" si="113">SUM(ROUND(R156,0),ROUND(S156,0))</f>
        <v>20</v>
      </c>
      <c r="U156" s="9" t="str">
        <f t="shared" ref="U156:U157" si="114">C156</f>
        <v>electric</v>
      </c>
      <c r="V156" s="9" t="str">
        <f t="shared" si="101"/>
        <v>grass</v>
      </c>
      <c r="W156" s="9" t="s">
        <v>8</v>
      </c>
      <c r="X156" s="9" t="s">
        <v>26</v>
      </c>
      <c r="Y156" s="9"/>
      <c r="Z156" s="12" t="str">
        <f t="shared" si="102"/>
        <v/>
      </c>
      <c r="AA156" s="8" t="s">
        <v>1258</v>
      </c>
      <c r="AB156" s="10" t="s">
        <v>1323</v>
      </c>
      <c r="AC156" s="8" t="s">
        <v>613</v>
      </c>
      <c r="AD156" s="8" t="str">
        <f>VLOOKUP(AC156,moves!A:B,2,FALSE)</f>
        <v>grass</v>
      </c>
      <c r="AE156" s="8">
        <f>VLOOKUP(AC156,moves!A:D,4,FALSE)</f>
        <v>5</v>
      </c>
      <c r="AF156" s="8" t="str">
        <f>VLOOKUP(AC156,moves!A:E,5,FALSE)</f>
        <v xml:space="preserve">During this attack and when the user is next attacked, status symbols deal +1 damage. </v>
      </c>
      <c r="AG156" s="11">
        <v>0</v>
      </c>
      <c r="AH156" s="11">
        <v>1</v>
      </c>
      <c r="AI156" s="8" t="str" cm="1">
        <f t="array" ref="AI156">_xlfn.IFS(AG156=1, "starter", AH156=1, "legendary",T156&lt; 13, "weak",T156&lt; 17, "moderate", TRUE, "strong")</f>
        <v>legendary</v>
      </c>
      <c r="AK156" s="8">
        <v>1</v>
      </c>
      <c r="AL156" s="8">
        <v>0</v>
      </c>
      <c r="AM156" s="8">
        <v>5</v>
      </c>
    </row>
    <row r="157" spans="1:39" s="8" customFormat="1" x14ac:dyDescent="0.25">
      <c r="A157" s="9" t="s">
        <v>1266</v>
      </c>
      <c r="B157" s="10" t="s">
        <v>232</v>
      </c>
      <c r="C157" s="5" t="s">
        <v>11</v>
      </c>
      <c r="D157" s="3" t="s">
        <v>6</v>
      </c>
      <c r="E157" s="9">
        <v>50</v>
      </c>
      <c r="F157" s="9">
        <v>65</v>
      </c>
      <c r="G157" s="9">
        <v>107</v>
      </c>
      <c r="H157" s="9">
        <v>105</v>
      </c>
      <c r="I157" s="9">
        <v>107</v>
      </c>
      <c r="J157" s="9">
        <v>86</v>
      </c>
      <c r="K157" s="4" t="s">
        <v>463</v>
      </c>
      <c r="L157" s="9" t="s">
        <v>298</v>
      </c>
      <c r="M157" s="9" t="s">
        <v>299</v>
      </c>
      <c r="N157" s="9">
        <f t="shared" si="109"/>
        <v>9.34</v>
      </c>
      <c r="O157" s="9">
        <f t="shared" si="110"/>
        <v>8.42</v>
      </c>
      <c r="P157" s="9">
        <v>3</v>
      </c>
      <c r="Q157" s="9">
        <v>0</v>
      </c>
      <c r="R157" s="12">
        <f t="shared" si="111"/>
        <v>12</v>
      </c>
      <c r="S157" s="12">
        <f t="shared" si="112"/>
        <v>8</v>
      </c>
      <c r="T157" s="12">
        <f t="shared" si="113"/>
        <v>20</v>
      </c>
      <c r="U157" s="9" t="str">
        <f t="shared" si="114"/>
        <v>electric</v>
      </c>
      <c r="V157" s="9" t="str">
        <f t="shared" si="101"/>
        <v>water</v>
      </c>
      <c r="W157" s="9" t="s">
        <v>8</v>
      </c>
      <c r="X157" s="9" t="s">
        <v>26</v>
      </c>
      <c r="Y157" s="9"/>
      <c r="Z157" s="12" t="str">
        <f t="shared" si="102"/>
        <v/>
      </c>
      <c r="AA157" s="8" t="s">
        <v>1259</v>
      </c>
      <c r="AB157" s="10" t="s">
        <v>1324</v>
      </c>
      <c r="AC157" s="8" t="s">
        <v>482</v>
      </c>
      <c r="AD157" s="8" t="str">
        <f>VLOOKUP(AC157,moves!A:B,2,FALSE)</f>
        <v>water</v>
      </c>
      <c r="AE157" s="8">
        <f>VLOOKUP(AC157,moves!A:D,4,FALSE)</f>
        <v>5</v>
      </c>
      <c r="AF157" s="8" t="str">
        <f>VLOOKUP(AC157,moves!A:E,5,FALSE)</f>
        <v>If 2+ status symbols are rolled: Inflict the Confused status on the target.</v>
      </c>
      <c r="AG157" s="11">
        <v>0</v>
      </c>
      <c r="AH157" s="11">
        <v>1</v>
      </c>
      <c r="AI157" s="8" t="str" cm="1">
        <f t="array" ref="AI157">_xlfn.IFS(AG157=1, "starter", AH157=1, "legendary",T157&lt; 13, "weak",T157&lt; 17, "moderate", TRUE, "strong")</f>
        <v>legendary</v>
      </c>
      <c r="AK157" s="8">
        <v>1</v>
      </c>
      <c r="AL157" s="8">
        <v>0</v>
      </c>
      <c r="AM157" s="8">
        <v>6</v>
      </c>
    </row>
    <row r="158" spans="1:39" x14ac:dyDescent="0.25">
      <c r="A158" s="9">
        <v>483</v>
      </c>
      <c r="B158" s="1" t="s">
        <v>236</v>
      </c>
      <c r="C158" s="3" t="s">
        <v>39</v>
      </c>
      <c r="D158" s="3" t="s">
        <v>67</v>
      </c>
      <c r="E158" s="1">
        <v>100</v>
      </c>
      <c r="F158" s="1">
        <v>120</v>
      </c>
      <c r="G158" s="1">
        <v>120</v>
      </c>
      <c r="H158" s="1">
        <v>150</v>
      </c>
      <c r="I158" s="1">
        <v>100</v>
      </c>
      <c r="J158" s="1">
        <v>90</v>
      </c>
      <c r="K158" s="1" t="s">
        <v>459</v>
      </c>
      <c r="L158" s="10" t="s">
        <v>313</v>
      </c>
      <c r="M158" s="1" t="s">
        <v>554</v>
      </c>
      <c r="N158" s="9">
        <f t="shared" si="89"/>
        <v>12.3</v>
      </c>
      <c r="O158" s="9">
        <f t="shared" si="90"/>
        <v>10.6</v>
      </c>
      <c r="P158" s="9">
        <v>0</v>
      </c>
      <c r="Q158" s="9">
        <v>0</v>
      </c>
      <c r="R158" s="12">
        <f t="shared" si="91"/>
        <v>12</v>
      </c>
      <c r="S158" s="12">
        <f t="shared" si="92"/>
        <v>11</v>
      </c>
      <c r="T158" s="12">
        <f t="shared" si="93"/>
        <v>23</v>
      </c>
      <c r="U158" s="1" t="str">
        <f t="shared" si="87"/>
        <v>steel</v>
      </c>
      <c r="V158" s="1" t="str">
        <f t="shared" si="101"/>
        <v>dragon</v>
      </c>
      <c r="W158" s="1" t="s">
        <v>13</v>
      </c>
      <c r="X158" s="1" t="s">
        <v>4</v>
      </c>
      <c r="Z158" s="12" t="str">
        <f>IF(ISBLANK(Y158), "", ROUND(( (T160-6)*(T160-7) - (T158-6)*(T158-7) )/15, 0) + 1)</f>
        <v/>
      </c>
      <c r="AA158" t="str">
        <f t="shared" si="70"/>
        <v>Dialga</v>
      </c>
      <c r="AC158" t="s">
        <v>506</v>
      </c>
      <c r="AD158" s="8" t="str">
        <f>VLOOKUP(AC158,moves!A:B,2,FALSE)</f>
        <v>dragon</v>
      </c>
      <c r="AE158" s="8">
        <f>VLOOKUP(AC158,moves!A:D,4,FALSE)</f>
        <v>7</v>
      </c>
      <c r="AF158" s="8" t="str">
        <f>VLOOKUP(AC158,moves!A:E,5,FALSE)</f>
        <v>If this move was used last turn, attack strength is decreased to 2.</v>
      </c>
      <c r="AG158" s="6">
        <v>0</v>
      </c>
      <c r="AH158" s="6">
        <v>1</v>
      </c>
      <c r="AI158" s="8" t="str" cm="1">
        <f t="array" ref="AI158">_xlfn.IFS(AG158=1, "starter", AH158=1, "legendary",T158&lt; 13, "weak",T158&lt; 17, "moderate", TRUE, "strong")</f>
        <v>legendary</v>
      </c>
      <c r="AK158">
        <v>1</v>
      </c>
      <c r="AL158" s="8">
        <v>0</v>
      </c>
      <c r="AM158" s="8">
        <v>1</v>
      </c>
    </row>
    <row r="159" spans="1:39" s="8" customFormat="1" x14ac:dyDescent="0.25">
      <c r="A159" s="9" t="s">
        <v>1247</v>
      </c>
      <c r="B159" s="9" t="s">
        <v>236</v>
      </c>
      <c r="C159" s="3" t="s">
        <v>39</v>
      </c>
      <c r="D159" s="3" t="s">
        <v>67</v>
      </c>
      <c r="E159" s="9">
        <v>100</v>
      </c>
      <c r="F159" s="9">
        <v>120</v>
      </c>
      <c r="G159" s="9">
        <v>120</v>
      </c>
      <c r="H159" s="9">
        <v>150</v>
      </c>
      <c r="I159" s="9">
        <v>100</v>
      </c>
      <c r="J159" s="9">
        <v>90</v>
      </c>
      <c r="K159" s="9" t="s">
        <v>459</v>
      </c>
      <c r="L159" s="10" t="s">
        <v>313</v>
      </c>
      <c r="M159" s="9" t="s">
        <v>554</v>
      </c>
      <c r="N159" s="9">
        <f t="shared" ref="N159" si="115">(0.4*J159 + 0.5*MAX(F159,H159) + 0.1*MIN(F159,H159)) / 10</f>
        <v>12.3</v>
      </c>
      <c r="O159" s="9">
        <f t="shared" ref="O159" si="116">(0.4*E159 + 0.3*G159 + 0.3*I159) / 10</f>
        <v>10.6</v>
      </c>
      <c r="P159" s="9">
        <v>1</v>
      </c>
      <c r="Q159" s="9">
        <v>0</v>
      </c>
      <c r="R159" s="12">
        <f t="shared" ref="R159" si="117">ROUND(N159,0)+P159</f>
        <v>13</v>
      </c>
      <c r="S159" s="12">
        <f t="shared" ref="S159" si="118">ROUND(O159,0)+Q159</f>
        <v>11</v>
      </c>
      <c r="T159" s="12">
        <f t="shared" ref="T159" si="119">SUM(ROUND(R159,0),ROUND(S159,0))</f>
        <v>24</v>
      </c>
      <c r="U159" s="9" t="str">
        <f t="shared" ref="U159" si="120">C159</f>
        <v>steel</v>
      </c>
      <c r="V159" s="9" t="str">
        <f t="shared" si="101"/>
        <v>dragon</v>
      </c>
      <c r="W159" s="9" t="s">
        <v>13</v>
      </c>
      <c r="X159" s="9" t="s">
        <v>4</v>
      </c>
      <c r="Y159" s="9"/>
      <c r="Z159" s="12" t="str">
        <f>IF(ISBLANK(Y159), "", ROUND(( (T162-6)*(T162-7) - (T159-6)*(T159-7) )/15, 0) + 1)</f>
        <v/>
      </c>
      <c r="AA159" s="8" t="str">
        <f t="shared" ref="AA159" si="121">B159</f>
        <v>Dialga</v>
      </c>
      <c r="AB159" s="9" t="s">
        <v>1325</v>
      </c>
      <c r="AC159" s="8" t="s">
        <v>506</v>
      </c>
      <c r="AD159" s="8" t="str">
        <f>VLOOKUP(AC159,moves!A:B,2,FALSE)</f>
        <v>dragon</v>
      </c>
      <c r="AE159" s="8">
        <f>VLOOKUP(AC159,moves!A:D,4,FALSE)</f>
        <v>7</v>
      </c>
      <c r="AF159" s="8" t="str">
        <f>VLOOKUP(AC159,moves!A:E,5,FALSE)</f>
        <v>If this move was used last turn, attack strength is decreased to 2.</v>
      </c>
      <c r="AG159" s="11">
        <v>0</v>
      </c>
      <c r="AH159" s="11">
        <v>1</v>
      </c>
      <c r="AI159" s="8" t="str" cm="1">
        <f t="array" ref="AI159">_xlfn.IFS(AG159=1, "starter", AH159=1, "legendary",T159&lt; 13, "weak",T159&lt; 17, "moderate", TRUE, "strong")</f>
        <v>legendary</v>
      </c>
      <c r="AK159" s="8">
        <v>1</v>
      </c>
      <c r="AL159" s="8">
        <v>0</v>
      </c>
      <c r="AM159" s="8">
        <v>2</v>
      </c>
    </row>
    <row r="160" spans="1:39" x14ac:dyDescent="0.25">
      <c r="A160" s="9">
        <v>484</v>
      </c>
      <c r="B160" s="1" t="s">
        <v>237</v>
      </c>
      <c r="C160" s="3" t="s">
        <v>6</v>
      </c>
      <c r="D160" s="3" t="s">
        <v>67</v>
      </c>
      <c r="E160" s="1">
        <v>90</v>
      </c>
      <c r="F160" s="1">
        <v>120</v>
      </c>
      <c r="G160" s="1">
        <v>100</v>
      </c>
      <c r="H160" s="1">
        <v>150</v>
      </c>
      <c r="I160" s="1">
        <v>120</v>
      </c>
      <c r="J160" s="1">
        <v>100</v>
      </c>
      <c r="K160" s="1" t="s">
        <v>458</v>
      </c>
      <c r="L160" s="10" t="s">
        <v>313</v>
      </c>
      <c r="M160" s="1" t="s">
        <v>554</v>
      </c>
      <c r="N160" s="9">
        <f t="shared" si="89"/>
        <v>12.7</v>
      </c>
      <c r="O160" s="9">
        <f t="shared" si="90"/>
        <v>10.199999999999999</v>
      </c>
      <c r="P160" s="9">
        <v>0</v>
      </c>
      <c r="Q160" s="9">
        <v>0</v>
      </c>
      <c r="R160" s="12">
        <f t="shared" si="91"/>
        <v>13</v>
      </c>
      <c r="S160" s="12">
        <f t="shared" si="92"/>
        <v>10</v>
      </c>
      <c r="T160" s="12">
        <f t="shared" si="93"/>
        <v>23</v>
      </c>
      <c r="U160" s="1" t="str">
        <f t="shared" si="87"/>
        <v>water</v>
      </c>
      <c r="V160" s="1" t="str">
        <f t="shared" si="101"/>
        <v>dragon</v>
      </c>
      <c r="W160" s="1" t="s">
        <v>11</v>
      </c>
      <c r="X160" s="1" t="s">
        <v>14</v>
      </c>
      <c r="Z160" s="12" t="str">
        <f>IF(ISBLANK(Y160), "", ROUND(( (T162-6)*(T162-7) - (T160-6)*(T160-7) )/15, 0) + 1)</f>
        <v/>
      </c>
      <c r="AA160" t="str">
        <f t="shared" si="70"/>
        <v>Palkia</v>
      </c>
      <c r="AC160" t="s">
        <v>480</v>
      </c>
      <c r="AD160" s="8" t="str">
        <f>VLOOKUP(AC160,moves!A:B,2,FALSE)</f>
        <v>dragon</v>
      </c>
      <c r="AE160" s="8">
        <f>VLOOKUP(AC160,moves!A:D,4,FALSE)</f>
        <v>5</v>
      </c>
      <c r="AF160" s="8" t="str">
        <f>VLOOKUP(AC160,moves!A:E,5,FALSE)</f>
        <v>Critical hits deal +1 damage.</v>
      </c>
      <c r="AG160" s="6">
        <v>0</v>
      </c>
      <c r="AH160" s="6">
        <v>1</v>
      </c>
      <c r="AI160" s="8" t="str" cm="1">
        <f t="array" ref="AI160">_xlfn.IFS(AG160=1, "starter", AH160=1, "legendary",T160&lt; 13, "weak",T160&lt; 17, "moderate", TRUE, "strong")</f>
        <v>legendary</v>
      </c>
      <c r="AK160">
        <v>1</v>
      </c>
      <c r="AL160" s="8">
        <v>0</v>
      </c>
      <c r="AM160" s="8">
        <v>1</v>
      </c>
    </row>
    <row r="161" spans="1:39" s="8" customFormat="1" x14ac:dyDescent="0.25">
      <c r="A161" s="9" t="s">
        <v>1248</v>
      </c>
      <c r="B161" s="9" t="s">
        <v>237</v>
      </c>
      <c r="C161" s="3" t="s">
        <v>6</v>
      </c>
      <c r="D161" s="3" t="s">
        <v>67</v>
      </c>
      <c r="E161" s="9">
        <v>90</v>
      </c>
      <c r="F161" s="9">
        <v>120</v>
      </c>
      <c r="G161" s="9">
        <v>100</v>
      </c>
      <c r="H161" s="9">
        <v>150</v>
      </c>
      <c r="I161" s="9">
        <v>120</v>
      </c>
      <c r="J161" s="9">
        <v>100</v>
      </c>
      <c r="K161" s="9" t="s">
        <v>458</v>
      </c>
      <c r="L161" s="10" t="s">
        <v>313</v>
      </c>
      <c r="M161" s="9" t="s">
        <v>554</v>
      </c>
      <c r="N161" s="9">
        <f t="shared" ref="N161" si="122">(0.4*J161 + 0.5*MAX(F161,H161) + 0.1*MIN(F161,H161)) / 10</f>
        <v>12.7</v>
      </c>
      <c r="O161" s="9">
        <f t="shared" ref="O161" si="123">(0.4*E161 + 0.3*G161 + 0.3*I161) / 10</f>
        <v>10.199999999999999</v>
      </c>
      <c r="P161" s="9">
        <v>0</v>
      </c>
      <c r="Q161" s="9">
        <v>1</v>
      </c>
      <c r="R161" s="12">
        <f t="shared" ref="R161" si="124">ROUND(N161,0)+P161</f>
        <v>13</v>
      </c>
      <c r="S161" s="12">
        <f t="shared" ref="S161" si="125">ROUND(O161,0)+Q161</f>
        <v>11</v>
      </c>
      <c r="T161" s="12">
        <f t="shared" ref="T161" si="126">SUM(ROUND(R161,0),ROUND(S161,0))</f>
        <v>24</v>
      </c>
      <c r="U161" s="9" t="str">
        <f t="shared" ref="U161" si="127">C161</f>
        <v>water</v>
      </c>
      <c r="V161" s="9" t="str">
        <f t="shared" si="101"/>
        <v>dragon</v>
      </c>
      <c r="W161" s="9" t="s">
        <v>11</v>
      </c>
      <c r="X161" s="9" t="s">
        <v>14</v>
      </c>
      <c r="Y161" s="9"/>
      <c r="Z161" s="12" t="str">
        <f>IF(ISBLANK(Y161), "", ROUND(( (T163-6)*(T163-7) - (T161-6)*(T161-7) )/15, 0) + 1)</f>
        <v/>
      </c>
      <c r="AA161" s="8" t="str">
        <f t="shared" ref="AA161" si="128">B161</f>
        <v>Palkia</v>
      </c>
      <c r="AB161" s="9" t="s">
        <v>1325</v>
      </c>
      <c r="AC161" s="8" t="s">
        <v>480</v>
      </c>
      <c r="AD161" s="8" t="str">
        <f>VLOOKUP(AC161,moves!A:B,2,FALSE)</f>
        <v>dragon</v>
      </c>
      <c r="AE161" s="8">
        <f>VLOOKUP(AC161,moves!A:D,4,FALSE)</f>
        <v>5</v>
      </c>
      <c r="AF161" s="8" t="str">
        <f>VLOOKUP(AC161,moves!A:E,5,FALSE)</f>
        <v>Critical hits deal +1 damage.</v>
      </c>
      <c r="AG161" s="11">
        <v>0</v>
      </c>
      <c r="AH161" s="11">
        <v>1</v>
      </c>
      <c r="AI161" s="8" t="str" cm="1">
        <f t="array" ref="AI161">_xlfn.IFS(AG161=1, "starter", AH161=1, "legendary",T161&lt; 13, "weak",T161&lt; 17, "moderate", TRUE, "strong")</f>
        <v>legendary</v>
      </c>
      <c r="AK161" s="8">
        <v>1</v>
      </c>
      <c r="AL161" s="8">
        <v>0</v>
      </c>
      <c r="AM161" s="8">
        <v>2</v>
      </c>
    </row>
    <row r="162" spans="1:39" x14ac:dyDescent="0.25">
      <c r="A162" s="9">
        <v>485</v>
      </c>
      <c r="B162" s="1" t="s">
        <v>238</v>
      </c>
      <c r="C162" s="3" t="s">
        <v>4</v>
      </c>
      <c r="D162" s="3" t="s">
        <v>39</v>
      </c>
      <c r="E162" s="1">
        <v>91</v>
      </c>
      <c r="F162" s="1">
        <v>90</v>
      </c>
      <c r="G162" s="1">
        <v>106</v>
      </c>
      <c r="H162" s="1">
        <v>130</v>
      </c>
      <c r="I162" s="1">
        <v>106</v>
      </c>
      <c r="J162" s="1">
        <v>77</v>
      </c>
      <c r="K162" s="1" t="s">
        <v>457</v>
      </c>
      <c r="L162" s="2" t="s">
        <v>304</v>
      </c>
      <c r="M162" s="2" t="s">
        <v>302</v>
      </c>
      <c r="N162" s="9">
        <f t="shared" si="89"/>
        <v>10.48</v>
      </c>
      <c r="O162" s="9">
        <f t="shared" si="90"/>
        <v>9.9999999999999982</v>
      </c>
      <c r="P162" s="9">
        <v>0</v>
      </c>
      <c r="Q162" s="9">
        <v>0</v>
      </c>
      <c r="R162" s="12">
        <f t="shared" si="91"/>
        <v>10</v>
      </c>
      <c r="S162" s="12">
        <f t="shared" si="92"/>
        <v>10</v>
      </c>
      <c r="T162" s="12">
        <f t="shared" si="93"/>
        <v>20</v>
      </c>
      <c r="U162" s="1" t="str">
        <f t="shared" si="87"/>
        <v>fire</v>
      </c>
      <c r="V162" s="1" t="str">
        <f t="shared" si="101"/>
        <v>steel</v>
      </c>
      <c r="W162" s="1" t="s">
        <v>13</v>
      </c>
      <c r="X162" s="1" t="s">
        <v>33</v>
      </c>
      <c r="Z162" s="12" t="str">
        <f t="shared" si="88"/>
        <v/>
      </c>
      <c r="AA162" t="str">
        <f t="shared" si="70"/>
        <v>Heatran</v>
      </c>
      <c r="AC162" t="s">
        <v>539</v>
      </c>
      <c r="AD162" s="8" t="str">
        <f>VLOOKUP(AC162,moves!A:B,2,FALSE)</f>
        <v>fire</v>
      </c>
      <c r="AE162" s="8">
        <f>VLOOKUP(AC162,moves!A:D,4,FALSE)</f>
        <v>4</v>
      </c>
      <c r="AF162" s="8" t="str">
        <f>VLOOKUP(AC162,moves!A:E,5,FALSE)</f>
        <v>Inflict the Burned status on the target. The target may no longer switch out or flee the battle.</v>
      </c>
      <c r="AG162" s="6">
        <v>0</v>
      </c>
      <c r="AH162" s="6">
        <v>1</v>
      </c>
      <c r="AI162" s="8" t="str" cm="1">
        <f t="array" ref="AI162">_xlfn.IFS(AG162=1, "starter", AH162=1, "legendary",T162&lt; 13, "weak",T162&lt; 17, "moderate", TRUE, "strong")</f>
        <v>legendary</v>
      </c>
      <c r="AK162">
        <v>1</v>
      </c>
      <c r="AL162" s="8">
        <v>0</v>
      </c>
      <c r="AM162" s="8">
        <v>0</v>
      </c>
    </row>
    <row r="163" spans="1:39" x14ac:dyDescent="0.25">
      <c r="A163" s="9">
        <v>486</v>
      </c>
      <c r="B163" s="2" t="s">
        <v>239</v>
      </c>
      <c r="C163" s="3" t="s">
        <v>8</v>
      </c>
      <c r="E163" s="1">
        <v>110</v>
      </c>
      <c r="F163" s="1">
        <f>160/2</f>
        <v>80</v>
      </c>
      <c r="G163" s="1">
        <v>110</v>
      </c>
      <c r="H163" s="1">
        <v>80</v>
      </c>
      <c r="I163" s="1">
        <v>110</v>
      </c>
      <c r="J163" s="1">
        <f>100/2</f>
        <v>50</v>
      </c>
      <c r="K163" s="1" t="s">
        <v>456</v>
      </c>
      <c r="L163" s="2" t="s">
        <v>301</v>
      </c>
      <c r="M163" s="2" t="s">
        <v>299</v>
      </c>
      <c r="N163" s="9">
        <f t="shared" si="89"/>
        <v>6.8</v>
      </c>
      <c r="O163" s="9">
        <f t="shared" si="90"/>
        <v>11</v>
      </c>
      <c r="P163" s="9">
        <v>0</v>
      </c>
      <c r="Q163" s="9">
        <v>2</v>
      </c>
      <c r="R163" s="12">
        <f t="shared" si="91"/>
        <v>7</v>
      </c>
      <c r="S163" s="12">
        <f t="shared" si="92"/>
        <v>13</v>
      </c>
      <c r="T163" s="12">
        <f t="shared" si="93"/>
        <v>20</v>
      </c>
      <c r="U163" s="1" t="str">
        <f t="shared" si="87"/>
        <v>normal</v>
      </c>
      <c r="V163" s="1" t="s">
        <v>13</v>
      </c>
      <c r="W163" s="1" t="s">
        <v>22</v>
      </c>
      <c r="X163" s="1" t="s">
        <v>39</v>
      </c>
      <c r="Z163" s="12" t="str">
        <f t="shared" si="88"/>
        <v/>
      </c>
      <c r="AA163" t="str">
        <f t="shared" si="70"/>
        <v>Regigigas</v>
      </c>
      <c r="AC163" t="s">
        <v>540</v>
      </c>
      <c r="AD163" s="8" t="str">
        <f>VLOOKUP(AC163,moves!A:B,2,FALSE)</f>
        <v>normal</v>
      </c>
      <c r="AE163" s="8" t="str">
        <f>VLOOKUP(AC163,moves!A:D,4,FALSE)</f>
        <v>?</v>
      </c>
      <c r="AF163" s="8" t="str">
        <f>VLOOKUP(AC163,moves!A:E,5,FALSE)</f>
        <v>Attack strength is equal to half the base health of the target, rounded down. Maximum 6 attack strength.</v>
      </c>
      <c r="AG163" s="6">
        <v>0</v>
      </c>
      <c r="AH163" s="6">
        <v>1</v>
      </c>
      <c r="AI163" s="8" t="str" cm="1">
        <f t="array" ref="AI163">_xlfn.IFS(AG163=1, "starter", AH163=1, "legendary",T163&lt; 13, "weak",T163&lt; 17, "moderate", TRUE, "strong")</f>
        <v>legendary</v>
      </c>
      <c r="AK163">
        <v>1</v>
      </c>
      <c r="AL163" s="8">
        <v>0</v>
      </c>
      <c r="AM163" s="8">
        <v>0</v>
      </c>
    </row>
    <row r="164" spans="1:39" x14ac:dyDescent="0.25">
      <c r="A164" s="9">
        <v>487</v>
      </c>
      <c r="B164" s="2" t="s">
        <v>240</v>
      </c>
      <c r="C164" s="3" t="s">
        <v>42</v>
      </c>
      <c r="D164" s="3" t="s">
        <v>67</v>
      </c>
      <c r="E164" s="1">
        <v>150</v>
      </c>
      <c r="F164" s="1">
        <v>100</v>
      </c>
      <c r="G164" s="1">
        <v>120</v>
      </c>
      <c r="H164" s="1">
        <v>100</v>
      </c>
      <c r="I164" s="1">
        <v>120</v>
      </c>
      <c r="J164" s="1">
        <v>90</v>
      </c>
      <c r="K164" s="1" t="s">
        <v>455</v>
      </c>
      <c r="L164" s="10" t="s">
        <v>313</v>
      </c>
      <c r="M164" s="2" t="s">
        <v>554</v>
      </c>
      <c r="N164" s="9">
        <f t="shared" si="89"/>
        <v>9.6</v>
      </c>
      <c r="O164" s="9">
        <f t="shared" si="90"/>
        <v>13.2</v>
      </c>
      <c r="P164" s="9">
        <v>0</v>
      </c>
      <c r="Q164" s="9">
        <v>0</v>
      </c>
      <c r="R164" s="12">
        <f t="shared" si="91"/>
        <v>10</v>
      </c>
      <c r="S164" s="12">
        <f t="shared" si="92"/>
        <v>13</v>
      </c>
      <c r="T164" s="12">
        <f t="shared" si="93"/>
        <v>23</v>
      </c>
      <c r="U164" s="1" t="str">
        <f t="shared" si="87"/>
        <v>ghost</v>
      </c>
      <c r="V164" s="1" t="str">
        <f>IF(D164 = 0, "", D164)</f>
        <v>dragon</v>
      </c>
      <c r="W164" s="1" t="s">
        <v>22</v>
      </c>
      <c r="X164" s="1" t="s">
        <v>11</v>
      </c>
      <c r="Z164" s="12" t="str">
        <f>IF(ISBLANK(Y164), "", ROUND(( (T166-6)*(T166-7) - (T164-6)*(T164-7) )/15, 0) + 1)</f>
        <v/>
      </c>
      <c r="AA164" t="str">
        <f t="shared" si="70"/>
        <v>Giratina</v>
      </c>
      <c r="AC164" t="s">
        <v>525</v>
      </c>
      <c r="AD164" s="8" t="str">
        <f>VLOOKUP(AC164,moves!A:B,2,FALSE)</f>
        <v>ghost</v>
      </c>
      <c r="AE164" s="8">
        <f>VLOOKUP(AC164,moves!A:D,4,FALSE)</f>
        <v>6</v>
      </c>
      <c r="AF164" s="8" t="str">
        <f>VLOOKUP(AC164,moves!A:E,5,FALSE)</f>
        <v>The user may switch out. Status symbols deal -1 damage.</v>
      </c>
      <c r="AG164" s="6">
        <v>0</v>
      </c>
      <c r="AH164" s="6">
        <v>1</v>
      </c>
      <c r="AI164" s="8" t="str" cm="1">
        <f t="array" ref="AI164">_xlfn.IFS(AG164=1, "starter", AH164=1, "legendary",T164&lt; 13, "weak",T164&lt; 17, "moderate", TRUE, "strong")</f>
        <v>legendary</v>
      </c>
      <c r="AK164">
        <v>1</v>
      </c>
      <c r="AL164" s="8">
        <v>0</v>
      </c>
      <c r="AM164" s="8">
        <v>1</v>
      </c>
    </row>
    <row r="165" spans="1:39" s="8" customFormat="1" x14ac:dyDescent="0.25">
      <c r="A165" s="9" t="s">
        <v>1249</v>
      </c>
      <c r="B165" s="10" t="s">
        <v>240</v>
      </c>
      <c r="C165" s="3" t="s">
        <v>42</v>
      </c>
      <c r="D165" s="3" t="s">
        <v>67</v>
      </c>
      <c r="E165" s="9">
        <v>150</v>
      </c>
      <c r="F165" s="9">
        <v>100</v>
      </c>
      <c r="G165" s="9">
        <v>120</v>
      </c>
      <c r="H165" s="9">
        <v>100</v>
      </c>
      <c r="I165" s="9">
        <v>120</v>
      </c>
      <c r="J165" s="9">
        <v>90</v>
      </c>
      <c r="K165" s="9" t="s">
        <v>455</v>
      </c>
      <c r="L165" s="10" t="s">
        <v>313</v>
      </c>
      <c r="M165" s="10" t="s">
        <v>554</v>
      </c>
      <c r="N165" s="9">
        <f t="shared" ref="N165" si="129">(0.4*J165 + 0.5*MAX(F165,H165) + 0.1*MIN(F165,H165)) / 10</f>
        <v>9.6</v>
      </c>
      <c r="O165" s="9">
        <f t="shared" ref="O165" si="130">(0.4*E165 + 0.3*G165 + 0.3*I165) / 10</f>
        <v>13.2</v>
      </c>
      <c r="P165" s="9">
        <v>1</v>
      </c>
      <c r="Q165" s="9">
        <v>0</v>
      </c>
      <c r="R165" s="12">
        <f t="shared" ref="R165" si="131">ROUND(N165,0)+P165</f>
        <v>11</v>
      </c>
      <c r="S165" s="12">
        <f t="shared" ref="S165" si="132">ROUND(O165,0)+Q165</f>
        <v>13</v>
      </c>
      <c r="T165" s="12">
        <f t="shared" ref="T165" si="133">SUM(ROUND(R165,0),ROUND(S165,0))</f>
        <v>24</v>
      </c>
      <c r="U165" s="9" t="str">
        <f t="shared" ref="U165" si="134">C165</f>
        <v>ghost</v>
      </c>
      <c r="V165" s="9" t="str">
        <f>IF(D165 = 0, "", D165)</f>
        <v>dragon</v>
      </c>
      <c r="W165" s="9" t="s">
        <v>22</v>
      </c>
      <c r="X165" s="9" t="s">
        <v>11</v>
      </c>
      <c r="Y165" s="9"/>
      <c r="Z165" s="12" t="str">
        <f>IF(ISBLANK(Y165), "", ROUND(( (T167-6)*(T167-7) - (T165-6)*(T165-7) )/15, 0) + 1)</f>
        <v/>
      </c>
      <c r="AA165" s="8" t="s">
        <v>1253</v>
      </c>
      <c r="AB165" s="9" t="s">
        <v>1325</v>
      </c>
      <c r="AC165" s="8" t="s">
        <v>525</v>
      </c>
      <c r="AD165" s="8" t="str">
        <f>VLOOKUP(AC165,moves!A:B,2,FALSE)</f>
        <v>ghost</v>
      </c>
      <c r="AE165" s="8">
        <f>VLOOKUP(AC165,moves!A:D,4,FALSE)</f>
        <v>6</v>
      </c>
      <c r="AF165" s="8" t="str">
        <f>VLOOKUP(AC165,moves!A:E,5,FALSE)</f>
        <v>The user may switch out. Status symbols deal -1 damage.</v>
      </c>
      <c r="AG165" s="11">
        <v>0</v>
      </c>
      <c r="AH165" s="11">
        <v>1</v>
      </c>
      <c r="AI165" s="8" t="str" cm="1">
        <f t="array" ref="AI165">_xlfn.IFS(AG165=1, "starter", AH165=1, "legendary",T165&lt; 13, "weak",T165&lt; 17, "moderate", TRUE, "strong")</f>
        <v>legendary</v>
      </c>
      <c r="AK165" s="8">
        <v>1</v>
      </c>
      <c r="AL165" s="8">
        <v>0</v>
      </c>
      <c r="AM165" s="8">
        <v>2</v>
      </c>
    </row>
    <row r="166" spans="1:39" x14ac:dyDescent="0.25">
      <c r="A166" s="9">
        <v>488</v>
      </c>
      <c r="B166" s="2" t="s">
        <v>241</v>
      </c>
      <c r="C166" s="3" t="s">
        <v>26</v>
      </c>
      <c r="E166" s="1">
        <v>120</v>
      </c>
      <c r="F166" s="1">
        <v>70</v>
      </c>
      <c r="G166" s="1">
        <v>120</v>
      </c>
      <c r="H166" s="1">
        <v>75</v>
      </c>
      <c r="I166" s="1">
        <v>130</v>
      </c>
      <c r="J166" s="1">
        <v>85</v>
      </c>
      <c r="K166" s="1" t="s">
        <v>454</v>
      </c>
      <c r="L166" s="2" t="s">
        <v>298</v>
      </c>
      <c r="M166" s="2" t="s">
        <v>299</v>
      </c>
      <c r="N166" s="9">
        <f t="shared" si="89"/>
        <v>7.85</v>
      </c>
      <c r="O166" s="9">
        <f t="shared" si="90"/>
        <v>12.3</v>
      </c>
      <c r="P166" s="9">
        <v>0</v>
      </c>
      <c r="Q166" s="9">
        <v>0</v>
      </c>
      <c r="R166" s="12">
        <f t="shared" si="91"/>
        <v>8</v>
      </c>
      <c r="S166" s="12">
        <f t="shared" si="92"/>
        <v>12</v>
      </c>
      <c r="T166" s="12">
        <f t="shared" si="93"/>
        <v>20</v>
      </c>
      <c r="U166" s="1" t="str">
        <f t="shared" si="87"/>
        <v>psychic</v>
      </c>
      <c r="V166" s="1" t="s">
        <v>16</v>
      </c>
      <c r="W166" s="1" t="s">
        <v>14</v>
      </c>
      <c r="X166" s="1" t="s">
        <v>2</v>
      </c>
      <c r="Z166" s="12" t="str">
        <f t="shared" si="88"/>
        <v/>
      </c>
      <c r="AA166" t="str">
        <f t="shared" si="70"/>
        <v>Cresselia</v>
      </c>
      <c r="AC166" t="s">
        <v>1142</v>
      </c>
      <c r="AD166" s="8" t="str">
        <f>VLOOKUP(AC166,moves!A:B,2,FALSE)</f>
        <v>psychic</v>
      </c>
      <c r="AE166" s="8">
        <f>VLOOKUP(AC166,moves!A:D,4,FALSE)</f>
        <v>3</v>
      </c>
      <c r="AF166" s="8" t="str">
        <f>VLOOKUP(AC166,moves!A:E,5,FALSE)</f>
        <v>Inflict the Drowsy status on the target. The user heals for half the damage dealt, rounded up.</v>
      </c>
      <c r="AG166" s="6">
        <v>0</v>
      </c>
      <c r="AH166" s="6">
        <v>1</v>
      </c>
      <c r="AI166" s="8" t="str" cm="1">
        <f t="array" ref="AI166">_xlfn.IFS(AG166=1, "starter", AH166=1, "legendary",T166&lt; 13, "weak",T166&lt; 17, "moderate", TRUE, "strong")</f>
        <v>legendary</v>
      </c>
      <c r="AK166">
        <v>1</v>
      </c>
      <c r="AL166" s="8">
        <v>0</v>
      </c>
      <c r="AM166" s="8">
        <v>0</v>
      </c>
    </row>
    <row r="167" spans="1:39" x14ac:dyDescent="0.25">
      <c r="A167" s="9">
        <v>489</v>
      </c>
      <c r="B167" s="2" t="s">
        <v>242</v>
      </c>
      <c r="C167" s="3" t="s">
        <v>6</v>
      </c>
      <c r="E167" s="1">
        <v>80</v>
      </c>
      <c r="F167" s="1">
        <v>80</v>
      </c>
      <c r="G167" s="1">
        <v>80</v>
      </c>
      <c r="H167" s="1">
        <v>80</v>
      </c>
      <c r="I167" s="1">
        <v>80</v>
      </c>
      <c r="J167" s="1">
        <v>80</v>
      </c>
      <c r="K167" s="1" t="s">
        <v>453</v>
      </c>
      <c r="L167" s="1" t="s">
        <v>303</v>
      </c>
      <c r="M167" s="1" t="s">
        <v>302</v>
      </c>
      <c r="N167" s="9">
        <f t="shared" si="89"/>
        <v>8</v>
      </c>
      <c r="O167" s="9">
        <f t="shared" si="90"/>
        <v>8</v>
      </c>
      <c r="P167" s="9">
        <v>0</v>
      </c>
      <c r="Q167" s="9">
        <v>0</v>
      </c>
      <c r="R167" s="12">
        <f t="shared" si="91"/>
        <v>8</v>
      </c>
      <c r="S167" s="12">
        <f t="shared" si="92"/>
        <v>8</v>
      </c>
      <c r="T167" s="12">
        <f t="shared" si="93"/>
        <v>16</v>
      </c>
      <c r="U167" s="1" t="str">
        <f t="shared" si="87"/>
        <v>water</v>
      </c>
      <c r="V167" s="3" t="s">
        <v>8</v>
      </c>
      <c r="W167" s="1" t="s">
        <v>16</v>
      </c>
      <c r="X167" s="1" t="s">
        <v>14</v>
      </c>
      <c r="Z167" s="12" t="str">
        <f t="shared" si="88"/>
        <v/>
      </c>
      <c r="AA167" t="str">
        <f t="shared" si="70"/>
        <v>Phione</v>
      </c>
      <c r="AC167" t="s">
        <v>589</v>
      </c>
      <c r="AD167" s="8" t="str">
        <f>VLOOKUP(AC167,moves!A:B,2,FALSE)</f>
        <v>water</v>
      </c>
      <c r="AE167" s="8">
        <f>VLOOKUP(AC167,moves!A:D,4,FALSE)</f>
        <v>4</v>
      </c>
      <c r="AF167" s="8" t="str">
        <f>VLOOKUP(AC167,moves!A:E,5,FALSE)</f>
        <v>For each other non-fainted Pokémon in your party with the move Surf: Attack strength is increased by 1.</v>
      </c>
      <c r="AG167" s="6">
        <v>0</v>
      </c>
      <c r="AH167" s="6">
        <v>0</v>
      </c>
      <c r="AI167" s="8" t="str" cm="1">
        <f t="array" ref="AI167">_xlfn.IFS(AG167=1, "starter", AH167=1, "legendary",T167&lt; 13, "weak",T167&lt; 17, "moderate", TRUE, "strong")</f>
        <v>moderate</v>
      </c>
      <c r="AK167">
        <v>1</v>
      </c>
      <c r="AL167" s="8">
        <v>0</v>
      </c>
      <c r="AM167" s="8">
        <v>0</v>
      </c>
    </row>
    <row r="168" spans="1:39" x14ac:dyDescent="0.25">
      <c r="A168" s="9">
        <v>490</v>
      </c>
      <c r="B168" s="2" t="s">
        <v>243</v>
      </c>
      <c r="C168" s="3" t="s">
        <v>6</v>
      </c>
      <c r="E168" s="1">
        <v>100</v>
      </c>
      <c r="F168" s="1">
        <v>100</v>
      </c>
      <c r="G168" s="1">
        <v>100</v>
      </c>
      <c r="H168" s="1">
        <v>100</v>
      </c>
      <c r="I168" s="1">
        <v>100</v>
      </c>
      <c r="J168" s="1">
        <v>100</v>
      </c>
      <c r="K168" s="1" t="s">
        <v>452</v>
      </c>
      <c r="L168" s="2" t="s">
        <v>303</v>
      </c>
      <c r="M168" s="2" t="s">
        <v>299</v>
      </c>
      <c r="N168" s="9">
        <f t="shared" si="89"/>
        <v>10</v>
      </c>
      <c r="O168" s="9">
        <f t="shared" si="90"/>
        <v>10</v>
      </c>
      <c r="P168" s="9">
        <v>0</v>
      </c>
      <c r="Q168" s="9">
        <v>0</v>
      </c>
      <c r="R168" s="12">
        <f t="shared" si="91"/>
        <v>10</v>
      </c>
      <c r="S168" s="12">
        <f t="shared" si="92"/>
        <v>10</v>
      </c>
      <c r="T168" s="12">
        <f t="shared" si="93"/>
        <v>20</v>
      </c>
      <c r="U168" s="1" t="str">
        <f t="shared" si="87"/>
        <v>water</v>
      </c>
      <c r="V168" s="1" t="s">
        <v>26</v>
      </c>
      <c r="W168" s="1" t="s">
        <v>16</v>
      </c>
      <c r="X168" s="1" t="s">
        <v>14</v>
      </c>
      <c r="Z168" s="12" t="str">
        <f t="shared" si="88"/>
        <v/>
      </c>
      <c r="AA168" t="str">
        <f t="shared" si="70"/>
        <v>Manaphy</v>
      </c>
      <c r="AC168" t="s">
        <v>1311</v>
      </c>
      <c r="AD168" s="8" t="str">
        <f>VLOOKUP(AC168,moves!A:B,2,FALSE)</f>
        <v>psychic</v>
      </c>
      <c r="AE168" s="8">
        <f>VLOOKUP(AC168,moves!A:D,4,FALSE)</f>
        <v>5</v>
      </c>
      <c r="AF168" s="8" t="str">
        <f>VLOOKUP(AC168,moves!A:E,5,FALSE)</f>
        <v>Heal all status effects from the user. When the user is next attacked, remove a regular hit from the roll.</v>
      </c>
      <c r="AG168" s="6">
        <v>0</v>
      </c>
      <c r="AH168" s="6">
        <v>1</v>
      </c>
      <c r="AI168" s="8" t="str" cm="1">
        <f t="array" ref="AI168">_xlfn.IFS(AG168=1, "starter", AH168=1, "legendary",T168&lt; 13, "weak",T168&lt; 17, "moderate", TRUE, "strong")</f>
        <v>legendary</v>
      </c>
      <c r="AK168">
        <v>1</v>
      </c>
      <c r="AL168" s="8">
        <v>0</v>
      </c>
      <c r="AM168" s="8">
        <v>0</v>
      </c>
    </row>
    <row r="169" spans="1:39" x14ac:dyDescent="0.25">
      <c r="A169" s="9">
        <v>491</v>
      </c>
      <c r="B169" s="2" t="s">
        <v>244</v>
      </c>
      <c r="C169" s="3" t="s">
        <v>9</v>
      </c>
      <c r="E169" s="1">
        <v>70</v>
      </c>
      <c r="F169" s="1">
        <v>90</v>
      </c>
      <c r="G169" s="1">
        <v>90</v>
      </c>
      <c r="H169" s="1">
        <v>135</v>
      </c>
      <c r="I169" s="1">
        <v>90</v>
      </c>
      <c r="J169" s="1">
        <v>125</v>
      </c>
      <c r="K169" s="1" t="s">
        <v>451</v>
      </c>
      <c r="L169" s="2" t="s">
        <v>298</v>
      </c>
      <c r="M169" s="2" t="s">
        <v>299</v>
      </c>
      <c r="N169" s="9">
        <f t="shared" si="89"/>
        <v>12.65</v>
      </c>
      <c r="O169" s="9">
        <f t="shared" si="90"/>
        <v>8.1999999999999993</v>
      </c>
      <c r="P169" s="9">
        <v>-1</v>
      </c>
      <c r="Q169" s="9">
        <v>0</v>
      </c>
      <c r="R169" s="12">
        <f t="shared" si="91"/>
        <v>12</v>
      </c>
      <c r="S169" s="12">
        <f t="shared" si="92"/>
        <v>8</v>
      </c>
      <c r="T169" s="12">
        <f t="shared" si="93"/>
        <v>20</v>
      </c>
      <c r="U169" s="1" t="str">
        <f t="shared" si="87"/>
        <v>dark</v>
      </c>
      <c r="V169" s="1" t="s">
        <v>26</v>
      </c>
      <c r="W169" s="1" t="s">
        <v>42</v>
      </c>
      <c r="X169" s="1" t="s">
        <v>14</v>
      </c>
      <c r="Z169" s="12" t="str">
        <f t="shared" si="88"/>
        <v/>
      </c>
      <c r="AA169" t="str">
        <f t="shared" si="70"/>
        <v>Darkrai</v>
      </c>
      <c r="AC169" t="s">
        <v>508</v>
      </c>
      <c r="AD169" s="8" t="str">
        <f>VLOOKUP(AC169,moves!A:B,2,FALSE)</f>
        <v>dark</v>
      </c>
      <c r="AE169" s="8">
        <f>VLOOKUP(AC169,moves!A:D,4,FALSE)</f>
        <v>3</v>
      </c>
      <c r="AF169" s="8" t="str">
        <f>VLOOKUP(AC169,moves!A:E,5,FALSE)</f>
        <v>Inflict both the Drowsy and Paralysed statuses on the target simultaneously.</v>
      </c>
      <c r="AG169" s="6">
        <v>0</v>
      </c>
      <c r="AH169" s="6">
        <v>1</v>
      </c>
      <c r="AI169" s="8" t="str" cm="1">
        <f t="array" ref="AI169">_xlfn.IFS(AG169=1, "starter", AH169=1, "legendary",T169&lt; 13, "weak",T169&lt; 17, "moderate", TRUE, "strong")</f>
        <v>legendary</v>
      </c>
      <c r="AK169">
        <v>1</v>
      </c>
      <c r="AL169" s="8">
        <v>0</v>
      </c>
      <c r="AM169" s="8">
        <v>0</v>
      </c>
    </row>
    <row r="170" spans="1:39" x14ac:dyDescent="0.25">
      <c r="A170" s="9">
        <v>492</v>
      </c>
      <c r="B170" s="2" t="s">
        <v>245</v>
      </c>
      <c r="C170" s="3" t="s">
        <v>2</v>
      </c>
      <c r="E170" s="1">
        <v>100</v>
      </c>
      <c r="F170" s="1">
        <v>100</v>
      </c>
      <c r="G170" s="1">
        <v>100</v>
      </c>
      <c r="H170" s="1">
        <v>100</v>
      </c>
      <c r="I170" s="1">
        <v>100</v>
      </c>
      <c r="J170" s="1">
        <v>100</v>
      </c>
      <c r="K170" s="1" t="s">
        <v>450</v>
      </c>
      <c r="L170" s="2" t="s">
        <v>301</v>
      </c>
      <c r="M170" s="2" t="s">
        <v>302</v>
      </c>
      <c r="N170" s="9">
        <f t="shared" si="89"/>
        <v>10</v>
      </c>
      <c r="O170" s="9">
        <f t="shared" si="90"/>
        <v>10</v>
      </c>
      <c r="P170" s="9">
        <v>0</v>
      </c>
      <c r="Q170" s="9">
        <v>0</v>
      </c>
      <c r="R170" s="12">
        <f t="shared" si="91"/>
        <v>10</v>
      </c>
      <c r="S170" s="12">
        <f t="shared" si="92"/>
        <v>10</v>
      </c>
      <c r="T170" s="12">
        <f t="shared" si="93"/>
        <v>20</v>
      </c>
      <c r="U170" s="1" t="str">
        <f t="shared" si="87"/>
        <v>grass</v>
      </c>
      <c r="V170" s="1" t="s">
        <v>8</v>
      </c>
      <c r="W170" s="1" t="s">
        <v>16</v>
      </c>
      <c r="X170" s="1" t="s">
        <v>26</v>
      </c>
      <c r="Z170" s="12" t="str">
        <f>IF(ISBLANK(Y170), "", ROUND(( (T172-6)*(T172-7) - (T170-6)*(T170-7) )/15, 0) + 1)</f>
        <v/>
      </c>
      <c r="AA170" t="str">
        <f t="shared" si="70"/>
        <v>Shaymin</v>
      </c>
      <c r="AC170" t="s">
        <v>541</v>
      </c>
      <c r="AD170" s="8" t="str">
        <f>VLOOKUP(AC170,moves!A:B,2,FALSE)</f>
        <v>grass</v>
      </c>
      <c r="AE170" s="8">
        <f>VLOOKUP(AC170,moves!A:D,4,FALSE)</f>
        <v>5</v>
      </c>
      <c r="AF170" s="8" t="str">
        <f>VLOOKUP(AC170,moves!A:E,5,FALSE)</f>
        <v>When the target is next attacked, add a regular hit to the roll.</v>
      </c>
      <c r="AG170" s="6">
        <v>0</v>
      </c>
      <c r="AH170" s="6">
        <v>1</v>
      </c>
      <c r="AI170" s="8" t="str" cm="1">
        <f t="array" ref="AI170">_xlfn.IFS(AG170=1, "starter", AH170=1, "legendary",T170&lt; 13, "weak",T170&lt; 17, "moderate", TRUE, "strong")</f>
        <v>legendary</v>
      </c>
      <c r="AK170">
        <v>1</v>
      </c>
      <c r="AL170" s="8">
        <v>0</v>
      </c>
      <c r="AM170" s="8">
        <v>1</v>
      </c>
    </row>
    <row r="171" spans="1:39" s="8" customFormat="1" x14ac:dyDescent="0.25">
      <c r="A171" s="9" t="s">
        <v>1261</v>
      </c>
      <c r="B171" s="10" t="s">
        <v>245</v>
      </c>
      <c r="C171" s="3" t="s">
        <v>2</v>
      </c>
      <c r="D171" s="3" t="s">
        <v>5</v>
      </c>
      <c r="E171" s="9">
        <v>100</v>
      </c>
      <c r="F171" s="9">
        <v>103</v>
      </c>
      <c r="G171" s="9">
        <v>75</v>
      </c>
      <c r="H171" s="9">
        <v>120</v>
      </c>
      <c r="I171" s="9">
        <v>75</v>
      </c>
      <c r="J171" s="9">
        <v>127</v>
      </c>
      <c r="K171" s="9" t="s">
        <v>450</v>
      </c>
      <c r="L171" s="10" t="s">
        <v>301</v>
      </c>
      <c r="M171" s="10" t="s">
        <v>302</v>
      </c>
      <c r="N171" s="9">
        <f t="shared" ref="N171" si="135">(0.4*J171 + 0.5*MAX(F171,H171) + 0.1*MIN(F171,H171)) / 10</f>
        <v>12.110000000000001</v>
      </c>
      <c r="O171" s="9">
        <f t="shared" ref="O171" si="136">(0.4*E171 + 0.3*G171 + 0.3*I171) / 10</f>
        <v>8.5</v>
      </c>
      <c r="P171" s="9">
        <v>0</v>
      </c>
      <c r="Q171" s="9">
        <v>-1</v>
      </c>
      <c r="R171" s="12">
        <f t="shared" ref="R171" si="137">ROUND(N171,0)+P171</f>
        <v>12</v>
      </c>
      <c r="S171" s="12">
        <f t="shared" ref="S171" si="138">ROUND(O171,0)+Q171</f>
        <v>8</v>
      </c>
      <c r="T171" s="12">
        <f t="shared" ref="T171" si="139">SUM(ROUND(R171,0),ROUND(S171,0))</f>
        <v>20</v>
      </c>
      <c r="U171" s="9" t="str">
        <f t="shared" ref="U171" si="140">C171</f>
        <v>grass</v>
      </c>
      <c r="V171" s="9" t="str">
        <f>IF(D171 = 0, "", D171)</f>
        <v>flying</v>
      </c>
      <c r="W171" s="9" t="s">
        <v>16</v>
      </c>
      <c r="X171" s="9" t="s">
        <v>26</v>
      </c>
      <c r="Y171" s="9"/>
      <c r="Z171" s="12" t="str">
        <f>IF(ISBLANK(Y171), "", ROUND(( (T173-6)*(T173-7) - (T171-6)*(T171-7) )/15, 0) + 1)</f>
        <v/>
      </c>
      <c r="AA171" s="8" t="s">
        <v>1260</v>
      </c>
      <c r="AB171" s="9" t="s">
        <v>1328</v>
      </c>
      <c r="AC171" s="8" t="s">
        <v>518</v>
      </c>
      <c r="AD171" s="8" t="str">
        <f>VLOOKUP(AC171,moves!A:B,2,FALSE)</f>
        <v>flying</v>
      </c>
      <c r="AE171" s="8">
        <f>VLOOKUP(AC171,moves!A:D,4,FALSE)</f>
        <v>4</v>
      </c>
      <c r="AF171" s="8" t="str">
        <f>VLOOKUP(AC171,moves!A:E,5,FALSE)</f>
        <v>Critical hits deal +1 damage.</v>
      </c>
      <c r="AG171" s="11">
        <v>0</v>
      </c>
      <c r="AH171" s="11">
        <v>1</v>
      </c>
      <c r="AI171" s="8" t="str" cm="1">
        <f t="array" ref="AI171">_xlfn.IFS(AG171=1, "starter", AH171=1, "legendary",T171&lt; 13, "weak",T171&lt; 17, "moderate", TRUE, "strong")</f>
        <v>legendary</v>
      </c>
      <c r="AK171" s="8">
        <v>1</v>
      </c>
      <c r="AL171" s="8">
        <v>0</v>
      </c>
      <c r="AM171" s="8">
        <v>2</v>
      </c>
    </row>
    <row r="172" spans="1:39" x14ac:dyDescent="0.25">
      <c r="A172" s="9">
        <v>228</v>
      </c>
      <c r="B172" s="2" t="s">
        <v>99</v>
      </c>
      <c r="C172" s="3" t="s">
        <v>9</v>
      </c>
      <c r="D172" s="3" t="s">
        <v>4</v>
      </c>
      <c r="E172" s="1">
        <v>45</v>
      </c>
      <c r="F172" s="1">
        <v>60</v>
      </c>
      <c r="G172" s="1">
        <v>30</v>
      </c>
      <c r="H172" s="1">
        <v>80</v>
      </c>
      <c r="I172" s="1">
        <v>50</v>
      </c>
      <c r="J172" s="1">
        <v>65</v>
      </c>
      <c r="K172" s="1" t="s">
        <v>430</v>
      </c>
      <c r="L172" s="1" t="s">
        <v>301</v>
      </c>
      <c r="M172" s="1" t="s">
        <v>302</v>
      </c>
      <c r="N172" s="9">
        <f t="shared" si="89"/>
        <v>7.2</v>
      </c>
      <c r="O172" s="9">
        <f t="shared" si="90"/>
        <v>4.2</v>
      </c>
      <c r="P172" s="9">
        <v>0</v>
      </c>
      <c r="Q172" s="9">
        <v>0</v>
      </c>
      <c r="R172" s="12">
        <f t="shared" si="91"/>
        <v>7</v>
      </c>
      <c r="S172" s="12">
        <f t="shared" si="92"/>
        <v>4</v>
      </c>
      <c r="T172" s="12">
        <f t="shared" si="93"/>
        <v>11</v>
      </c>
      <c r="U172" s="1" t="str">
        <f t="shared" si="87"/>
        <v>dark</v>
      </c>
      <c r="V172" s="1" t="str">
        <f>IF(D172 = 0, "", D172)</f>
        <v>fire</v>
      </c>
      <c r="W172" s="1" t="s">
        <v>8</v>
      </c>
      <c r="X172" s="1" t="s">
        <v>3</v>
      </c>
      <c r="Y172" s="1" t="str">
        <f>B173</f>
        <v>Houndoom</v>
      </c>
      <c r="Z172" s="12">
        <f t="shared" si="88"/>
        <v>7</v>
      </c>
      <c r="AA172" t="str">
        <f t="shared" si="70"/>
        <v>Houndour</v>
      </c>
      <c r="AC172" t="s">
        <v>530</v>
      </c>
      <c r="AD172" s="8" t="str">
        <f>VLOOKUP(AC172,moves!A:B,2,FALSE)</f>
        <v>dark</v>
      </c>
      <c r="AE172" s="8">
        <f>VLOOKUP(AC172,moves!A:D,4,FALSE)</f>
        <v>3</v>
      </c>
      <c r="AF172" s="8" t="str">
        <f>VLOOKUP(AC172,moves!A:E,5,FALSE)</f>
        <v>When the target is next attacked, add a regular hit to the roll.</v>
      </c>
      <c r="AG172" s="6">
        <v>0</v>
      </c>
      <c r="AH172" s="6">
        <v>0</v>
      </c>
      <c r="AI172" s="8" t="str" cm="1">
        <f t="array" ref="AI172">_xlfn.IFS(AG172=1, "starter", AH172=1, "legendary",T172&lt; 13, "weak",T172&lt; 17, "moderate", TRUE, "strong")</f>
        <v>weak</v>
      </c>
      <c r="AK172">
        <v>1</v>
      </c>
      <c r="AL172" s="8">
        <v>0</v>
      </c>
      <c r="AM172" s="8">
        <v>0</v>
      </c>
    </row>
    <row r="173" spans="1:39" x14ac:dyDescent="0.25">
      <c r="A173" s="9">
        <v>229</v>
      </c>
      <c r="B173" s="2" t="s">
        <v>100</v>
      </c>
      <c r="C173" s="3" t="s">
        <v>9</v>
      </c>
      <c r="D173" s="3" t="s">
        <v>4</v>
      </c>
      <c r="E173" s="1">
        <v>75</v>
      </c>
      <c r="F173" s="1">
        <v>90</v>
      </c>
      <c r="G173" s="1">
        <v>50</v>
      </c>
      <c r="H173" s="1">
        <v>110</v>
      </c>
      <c r="I173" s="1">
        <v>80</v>
      </c>
      <c r="J173" s="1">
        <v>95</v>
      </c>
      <c r="K173" s="1" t="s">
        <v>430</v>
      </c>
      <c r="L173" s="1" t="s">
        <v>301</v>
      </c>
      <c r="M173" s="1" t="s">
        <v>302</v>
      </c>
      <c r="N173" s="9">
        <f t="shared" si="89"/>
        <v>10.199999999999999</v>
      </c>
      <c r="O173" s="9">
        <f t="shared" si="90"/>
        <v>6.9</v>
      </c>
      <c r="P173" s="9">
        <v>0</v>
      </c>
      <c r="Q173" s="9">
        <v>0</v>
      </c>
      <c r="R173" s="12">
        <f t="shared" si="91"/>
        <v>10</v>
      </c>
      <c r="S173" s="12">
        <f t="shared" si="92"/>
        <v>7</v>
      </c>
      <c r="T173" s="12">
        <f t="shared" si="93"/>
        <v>17</v>
      </c>
      <c r="U173" s="1" t="str">
        <f t="shared" si="87"/>
        <v>dark</v>
      </c>
      <c r="V173" s="1" t="str">
        <f>IF(D173 = 0, "", D173)</f>
        <v>fire</v>
      </c>
      <c r="W173" s="1" t="s">
        <v>8</v>
      </c>
      <c r="X173" s="1" t="s">
        <v>3</v>
      </c>
      <c r="Z173" s="12" t="str">
        <f t="shared" si="88"/>
        <v/>
      </c>
      <c r="AA173" t="str">
        <f t="shared" si="70"/>
        <v>Houndoom</v>
      </c>
      <c r="AC173" t="s">
        <v>483</v>
      </c>
      <c r="AD173" s="8" t="str">
        <f>VLOOKUP(AC173,moves!A:B,2,FALSE)</f>
        <v>fire</v>
      </c>
      <c r="AE173" s="8">
        <f>VLOOKUP(AC173,moves!A:D,4,FALSE)</f>
        <v>4</v>
      </c>
      <c r="AF173" s="8" t="str">
        <f>VLOOKUP(AC173,moves!A:E,5,FALSE)</f>
        <v>If a status symbol is rolled: Inflict the Burned status on the target.</v>
      </c>
      <c r="AG173" s="6">
        <v>0</v>
      </c>
      <c r="AH173" s="6">
        <v>0</v>
      </c>
      <c r="AI173" s="8" t="str" cm="1">
        <f t="array" ref="AI173">_xlfn.IFS(AG173=1, "starter", AH173=1, "legendary",T173&lt; 13, "weak",T173&lt; 17, "moderate", TRUE, "strong")</f>
        <v>strong</v>
      </c>
      <c r="AK173">
        <v>2</v>
      </c>
      <c r="AL173" s="8">
        <v>0</v>
      </c>
      <c r="AM173" s="8">
        <v>0</v>
      </c>
    </row>
    <row r="174" spans="1:39" x14ac:dyDescent="0.25">
      <c r="A174" s="9">
        <v>359</v>
      </c>
      <c r="B174" s="2" t="s">
        <v>131</v>
      </c>
      <c r="C174" s="3" t="s">
        <v>9</v>
      </c>
      <c r="E174" s="1">
        <v>65</v>
      </c>
      <c r="F174" s="1">
        <v>130</v>
      </c>
      <c r="G174" s="1">
        <v>60</v>
      </c>
      <c r="H174" s="1">
        <v>75</v>
      </c>
      <c r="I174" s="1">
        <v>60</v>
      </c>
      <c r="J174" s="1">
        <v>75</v>
      </c>
      <c r="K174" s="1" t="s">
        <v>431</v>
      </c>
      <c r="L174" s="2" t="s">
        <v>304</v>
      </c>
      <c r="M174" s="2" t="s">
        <v>299</v>
      </c>
      <c r="N174" s="9">
        <f t="shared" si="89"/>
        <v>10.25</v>
      </c>
      <c r="O174" s="9">
        <f t="shared" si="90"/>
        <v>6.2</v>
      </c>
      <c r="P174" s="9">
        <v>0</v>
      </c>
      <c r="Q174" s="9">
        <v>0</v>
      </c>
      <c r="R174" s="12">
        <f t="shared" si="91"/>
        <v>10</v>
      </c>
      <c r="S174" s="12">
        <f t="shared" si="92"/>
        <v>6</v>
      </c>
      <c r="T174" s="12">
        <f t="shared" si="93"/>
        <v>16</v>
      </c>
      <c r="U174" s="1" t="str">
        <f t="shared" si="87"/>
        <v>dark</v>
      </c>
      <c r="V174" s="1" t="s">
        <v>22</v>
      </c>
      <c r="W174" s="1" t="s">
        <v>26</v>
      </c>
      <c r="X174" s="1" t="s">
        <v>8</v>
      </c>
      <c r="Z174" s="12" t="str">
        <f t="shared" si="88"/>
        <v/>
      </c>
      <c r="AA174" t="str">
        <f t="shared" si="70"/>
        <v>Absol</v>
      </c>
      <c r="AC174" t="s">
        <v>524</v>
      </c>
      <c r="AD174" s="8" t="str">
        <f>VLOOKUP(AC174,moves!A:B,2,FALSE)</f>
        <v>dark</v>
      </c>
      <c r="AE174" s="8">
        <f>VLOOKUP(AC174,moves!A:D,4,FALSE)</f>
        <v>4</v>
      </c>
      <c r="AF174" s="8" t="str">
        <f>VLOOKUP(AC174,moves!A:E,5,FALSE)</f>
        <v>Critical hits deal +1 damage.</v>
      </c>
      <c r="AG174" s="6">
        <v>0</v>
      </c>
      <c r="AH174" s="6">
        <v>0</v>
      </c>
      <c r="AI174" s="8" t="str" cm="1">
        <f t="array" ref="AI174">_xlfn.IFS(AG174=1, "starter", AH174=1, "legendary",T174&lt; 13, "weak",T174&lt; 17, "moderate", TRUE, "strong")</f>
        <v>moderate</v>
      </c>
      <c r="AK174">
        <v>1</v>
      </c>
      <c r="AL174" s="8">
        <v>0</v>
      </c>
      <c r="AM174" s="8">
        <v>0</v>
      </c>
    </row>
    <row r="175" spans="1:39" x14ac:dyDescent="0.25">
      <c r="A175" s="9">
        <v>377</v>
      </c>
      <c r="B175" s="2" t="s">
        <v>140</v>
      </c>
      <c r="C175" s="3" t="s">
        <v>33</v>
      </c>
      <c r="E175" s="1">
        <v>80</v>
      </c>
      <c r="F175" s="1">
        <v>100</v>
      </c>
      <c r="G175" s="1">
        <v>200</v>
      </c>
      <c r="H175" s="1">
        <v>50</v>
      </c>
      <c r="I175" s="1">
        <v>100</v>
      </c>
      <c r="J175" s="1">
        <v>50</v>
      </c>
      <c r="K175" s="1" t="s">
        <v>449</v>
      </c>
      <c r="L175" s="2" t="s">
        <v>313</v>
      </c>
      <c r="M175" s="2" t="s">
        <v>300</v>
      </c>
      <c r="N175" s="9">
        <f t="shared" si="89"/>
        <v>7.5</v>
      </c>
      <c r="O175" s="9">
        <f t="shared" si="90"/>
        <v>12.2</v>
      </c>
      <c r="P175" s="9">
        <v>-1</v>
      </c>
      <c r="Q175" s="9">
        <v>1</v>
      </c>
      <c r="R175" s="12">
        <f t="shared" si="91"/>
        <v>7</v>
      </c>
      <c r="S175" s="12">
        <f t="shared" si="92"/>
        <v>13</v>
      </c>
      <c r="T175" s="12">
        <f t="shared" si="93"/>
        <v>20</v>
      </c>
      <c r="U175" s="1" t="str">
        <f t="shared" si="87"/>
        <v>rock</v>
      </c>
      <c r="V175" s="1" t="s">
        <v>13</v>
      </c>
      <c r="W175" s="1" t="s">
        <v>22</v>
      </c>
      <c r="X175" s="1" t="s">
        <v>11</v>
      </c>
      <c r="Z175" s="12" t="str">
        <f t="shared" si="88"/>
        <v/>
      </c>
      <c r="AA175" t="str">
        <f t="shared" si="70"/>
        <v>Regirock</v>
      </c>
      <c r="AB175" s="2"/>
      <c r="AC175" t="s">
        <v>1285</v>
      </c>
      <c r="AD175" s="8" t="str">
        <f>VLOOKUP(AC175,moves!A:B,2,FALSE)</f>
        <v>rock</v>
      </c>
      <c r="AE175" s="8">
        <f>VLOOKUP(AC175,moves!A:D,4,FALSE)</f>
        <v>3</v>
      </c>
      <c r="AF175" s="8" t="str">
        <f>VLOOKUP(AC175,moves!A:E,5,FALSE)</f>
        <v>Until the user switches out: The user now heals 2 damage at the end of their turns.</v>
      </c>
      <c r="AG175" s="6">
        <v>0</v>
      </c>
      <c r="AH175" s="6">
        <v>1</v>
      </c>
      <c r="AI175" s="8" t="str" cm="1">
        <f t="array" ref="AI175">_xlfn.IFS(AG175=1, "starter", AH175=1, "legendary",T175&lt; 13, "weak",T175&lt; 17, "moderate", TRUE, "strong")</f>
        <v>legendary</v>
      </c>
      <c r="AK175">
        <v>1</v>
      </c>
      <c r="AL175" s="8">
        <v>0</v>
      </c>
      <c r="AM175" s="8">
        <v>0</v>
      </c>
    </row>
    <row r="176" spans="1:39" x14ac:dyDescent="0.25">
      <c r="A176" s="9">
        <v>378</v>
      </c>
      <c r="B176" s="2" t="s">
        <v>141</v>
      </c>
      <c r="C176" s="3" t="s">
        <v>14</v>
      </c>
      <c r="E176" s="1">
        <v>80</v>
      </c>
      <c r="F176" s="1">
        <v>50</v>
      </c>
      <c r="G176" s="1">
        <v>100</v>
      </c>
      <c r="H176" s="1">
        <v>100</v>
      </c>
      <c r="I176" s="1">
        <v>200</v>
      </c>
      <c r="J176" s="1">
        <v>50</v>
      </c>
      <c r="K176" s="1" t="s">
        <v>448</v>
      </c>
      <c r="L176" s="2" t="s">
        <v>313</v>
      </c>
      <c r="M176" s="2" t="s">
        <v>299</v>
      </c>
      <c r="N176" s="9">
        <f t="shared" si="89"/>
        <v>7.5</v>
      </c>
      <c r="O176" s="9">
        <f t="shared" si="90"/>
        <v>12.2</v>
      </c>
      <c r="P176" s="9">
        <v>-1</v>
      </c>
      <c r="Q176" s="9">
        <v>1</v>
      </c>
      <c r="R176" s="12">
        <f t="shared" si="91"/>
        <v>7</v>
      </c>
      <c r="S176" s="12">
        <f t="shared" si="92"/>
        <v>13</v>
      </c>
      <c r="T176" s="12">
        <f t="shared" si="93"/>
        <v>20</v>
      </c>
      <c r="U176" s="1" t="str">
        <f t="shared" si="87"/>
        <v>ice</v>
      </c>
      <c r="V176" s="1" t="s">
        <v>13</v>
      </c>
      <c r="W176" s="1" t="s">
        <v>22</v>
      </c>
      <c r="X176" s="1" t="s">
        <v>11</v>
      </c>
      <c r="Z176" s="12" t="str">
        <f t="shared" si="88"/>
        <v/>
      </c>
      <c r="AA176" t="str">
        <f t="shared" si="70"/>
        <v>Regice</v>
      </c>
      <c r="AB176" s="2"/>
      <c r="AC176" t="s">
        <v>1283</v>
      </c>
      <c r="AD176" s="8" t="str">
        <f>VLOOKUP(AC176,moves!A:B,2,FALSE)</f>
        <v>ice</v>
      </c>
      <c r="AE176" s="8">
        <f>VLOOKUP(AC176,moves!A:D,4,FALSE)</f>
        <v>3</v>
      </c>
      <c r="AF176" s="8" t="str">
        <f>VLOOKUP(AC176,moves!A:E,5,FALSE)</f>
        <v>Until the user switches out: When the user is attacked, inflict the Frozen status on the attacker.</v>
      </c>
      <c r="AG176" s="6">
        <v>0</v>
      </c>
      <c r="AH176" s="6">
        <v>1</v>
      </c>
      <c r="AI176" s="8" t="str" cm="1">
        <f t="array" ref="AI176">_xlfn.IFS(AG176=1, "starter", AH176=1, "legendary",T176&lt; 13, "weak",T176&lt; 17, "moderate", TRUE, "strong")</f>
        <v>legendary</v>
      </c>
      <c r="AK176">
        <v>1</v>
      </c>
      <c r="AL176" s="8">
        <v>0</v>
      </c>
      <c r="AM176" s="8">
        <v>0</v>
      </c>
    </row>
    <row r="177" spans="1:39" x14ac:dyDescent="0.25">
      <c r="A177" s="9">
        <v>379</v>
      </c>
      <c r="B177" s="2" t="s">
        <v>142</v>
      </c>
      <c r="C177" s="3" t="s">
        <v>39</v>
      </c>
      <c r="E177" s="1">
        <v>80</v>
      </c>
      <c r="F177" s="1">
        <v>75</v>
      </c>
      <c r="G177" s="1">
        <v>150</v>
      </c>
      <c r="H177" s="1">
        <v>75</v>
      </c>
      <c r="I177" s="1">
        <v>150</v>
      </c>
      <c r="J177" s="1">
        <v>50</v>
      </c>
      <c r="K177" s="1" t="s">
        <v>447</v>
      </c>
      <c r="L177" s="2" t="s">
        <v>313</v>
      </c>
      <c r="M177" s="2" t="s">
        <v>302</v>
      </c>
      <c r="N177" s="9">
        <f t="shared" si="89"/>
        <v>6.5</v>
      </c>
      <c r="O177" s="9">
        <f t="shared" si="90"/>
        <v>12.2</v>
      </c>
      <c r="P177" s="9">
        <v>0</v>
      </c>
      <c r="Q177" s="9">
        <v>1</v>
      </c>
      <c r="R177" s="12">
        <f t="shared" si="91"/>
        <v>7</v>
      </c>
      <c r="S177" s="12">
        <f t="shared" si="92"/>
        <v>13</v>
      </c>
      <c r="T177" s="12">
        <f t="shared" si="93"/>
        <v>20</v>
      </c>
      <c r="U177" s="1" t="str">
        <f t="shared" si="87"/>
        <v>steel</v>
      </c>
      <c r="V177" s="1" t="s">
        <v>13</v>
      </c>
      <c r="W177" s="1" t="s">
        <v>22</v>
      </c>
      <c r="X177" s="1" t="s">
        <v>11</v>
      </c>
      <c r="Z177" s="12" t="str">
        <f t="shared" si="88"/>
        <v/>
      </c>
      <c r="AA177" t="str">
        <f t="shared" si="70"/>
        <v>Registeel</v>
      </c>
      <c r="AB177" s="2"/>
      <c r="AC177" t="s">
        <v>1282</v>
      </c>
      <c r="AD177" s="8" t="str">
        <f>VLOOKUP(AC177,moves!A:B,2,FALSE)</f>
        <v>steel</v>
      </c>
      <c r="AE177" s="8">
        <f>VLOOKUP(AC177,moves!A:D,4,FALSE)</f>
        <v>3</v>
      </c>
      <c r="AF177" s="8" t="str">
        <f>VLOOKUP(AC177,moves!A:E,5,FALSE)</f>
        <v>Until the user switches out: When the user is attacked, positive type effectiveness damage is reduced to 0.</v>
      </c>
      <c r="AG177" s="6">
        <v>0</v>
      </c>
      <c r="AH177" s="6">
        <v>1</v>
      </c>
      <c r="AI177" s="8" t="str" cm="1">
        <f t="array" ref="AI177">_xlfn.IFS(AG177=1, "starter", AH177=1, "legendary",T177&lt; 13, "weak",T177&lt; 17, "moderate", TRUE, "strong")</f>
        <v>legendary</v>
      </c>
      <c r="AK177">
        <v>1</v>
      </c>
      <c r="AL177" s="8">
        <v>0</v>
      </c>
      <c r="AM177" s="8">
        <v>0</v>
      </c>
    </row>
    <row r="178" spans="1:39" x14ac:dyDescent="0.25">
      <c r="A178" s="9">
        <v>129</v>
      </c>
      <c r="B178" s="6" t="s">
        <v>56</v>
      </c>
      <c r="C178" s="3" t="s">
        <v>6</v>
      </c>
      <c r="E178" s="1">
        <v>20</v>
      </c>
      <c r="F178" s="1">
        <v>10</v>
      </c>
      <c r="G178" s="1">
        <v>15</v>
      </c>
      <c r="H178" s="1">
        <v>55</v>
      </c>
      <c r="I178" s="1">
        <v>20</v>
      </c>
      <c r="J178" s="1">
        <v>80</v>
      </c>
      <c r="K178" t="s">
        <v>432</v>
      </c>
      <c r="L178" s="2" t="s">
        <v>303</v>
      </c>
      <c r="M178" s="1" t="s">
        <v>300</v>
      </c>
      <c r="N178" s="9">
        <f t="shared" si="89"/>
        <v>6.05</v>
      </c>
      <c r="O178" s="9">
        <f t="shared" si="90"/>
        <v>1.85</v>
      </c>
      <c r="P178" s="9">
        <v>0</v>
      </c>
      <c r="Q178" s="9">
        <v>0</v>
      </c>
      <c r="R178" s="12">
        <f t="shared" si="91"/>
        <v>6</v>
      </c>
      <c r="S178" s="12">
        <f t="shared" si="92"/>
        <v>2</v>
      </c>
      <c r="T178" s="12">
        <f t="shared" si="93"/>
        <v>8</v>
      </c>
      <c r="U178" s="1" t="str">
        <f t="shared" si="87"/>
        <v>water</v>
      </c>
      <c r="V178" s="3" t="s">
        <v>5</v>
      </c>
      <c r="W178" s="1" t="s">
        <v>8</v>
      </c>
      <c r="X178" s="1" t="s">
        <v>67</v>
      </c>
      <c r="Y178" s="1" t="str">
        <f>B179</f>
        <v>Gyarados</v>
      </c>
      <c r="Z178" s="12">
        <f t="shared" si="88"/>
        <v>11</v>
      </c>
      <c r="AA178" t="str">
        <f t="shared" si="70"/>
        <v>Magikarp</v>
      </c>
      <c r="AB178"/>
      <c r="AC178" t="s">
        <v>555</v>
      </c>
      <c r="AD178" s="8" t="str">
        <f>VLOOKUP(AC178,moves!A:B,2,FALSE)</f>
        <v>normal</v>
      </c>
      <c r="AE178" s="8">
        <f>VLOOKUP(AC178,moves!A:D,4,FALSE)</f>
        <v>1</v>
      </c>
      <c r="AF178" s="8" t="str">
        <f>VLOOKUP(AC178,moves!A:E,5,FALSE)</f>
        <v>Roll a status dice and inflict the result on the target.</v>
      </c>
      <c r="AG178" s="6">
        <v>0</v>
      </c>
      <c r="AH178" s="6">
        <v>0</v>
      </c>
      <c r="AI178" s="8" t="str" cm="1">
        <f t="array" ref="AI178">_xlfn.IFS(AG178=1, "starter", AH178=1, "legendary",T178&lt; 13, "weak",T178&lt; 17, "moderate", TRUE, "strong")</f>
        <v>weak</v>
      </c>
      <c r="AK178">
        <v>1</v>
      </c>
      <c r="AL178" s="8">
        <v>0</v>
      </c>
      <c r="AM178" s="8">
        <v>0</v>
      </c>
    </row>
    <row r="179" spans="1:39" x14ac:dyDescent="0.25">
      <c r="A179" s="9">
        <v>130</v>
      </c>
      <c r="B179" s="6" t="s">
        <v>57</v>
      </c>
      <c r="C179" s="3" t="s">
        <v>6</v>
      </c>
      <c r="D179" s="3" t="s">
        <v>5</v>
      </c>
      <c r="E179" s="1">
        <v>95</v>
      </c>
      <c r="F179" s="1">
        <v>125</v>
      </c>
      <c r="G179" s="1">
        <v>79</v>
      </c>
      <c r="H179" s="1">
        <v>60</v>
      </c>
      <c r="I179" s="1">
        <v>100</v>
      </c>
      <c r="J179" s="1">
        <v>81</v>
      </c>
      <c r="K179" t="s">
        <v>433</v>
      </c>
      <c r="L179" s="1" t="s">
        <v>303</v>
      </c>
      <c r="M179" s="1" t="s">
        <v>300</v>
      </c>
      <c r="N179" s="9">
        <f t="shared" si="89"/>
        <v>10.09</v>
      </c>
      <c r="O179" s="9">
        <f t="shared" si="90"/>
        <v>9.17</v>
      </c>
      <c r="P179" s="9">
        <v>0</v>
      </c>
      <c r="Q179" s="9">
        <v>0</v>
      </c>
      <c r="R179" s="12">
        <f t="shared" si="91"/>
        <v>10</v>
      </c>
      <c r="S179" s="12">
        <f t="shared" si="92"/>
        <v>9</v>
      </c>
      <c r="T179" s="12">
        <f t="shared" si="93"/>
        <v>19</v>
      </c>
      <c r="U179" s="1" t="str">
        <f t="shared" si="87"/>
        <v>water</v>
      </c>
      <c r="V179" s="1" t="str">
        <f>IF(D179 = 0, "", D179)</f>
        <v>flying</v>
      </c>
      <c r="W179" s="1" t="s">
        <v>8</v>
      </c>
      <c r="X179" s="1" t="s">
        <v>67</v>
      </c>
      <c r="Z179" s="12" t="str">
        <f t="shared" si="88"/>
        <v/>
      </c>
      <c r="AA179" t="str">
        <f t="shared" si="70"/>
        <v>Gyarados</v>
      </c>
      <c r="AB179"/>
      <c r="AC179" t="s">
        <v>505</v>
      </c>
      <c r="AD179" s="8" t="str">
        <f>VLOOKUP(AC179,moves!A:B,2,FALSE)</f>
        <v>dragon</v>
      </c>
      <c r="AE179" s="8">
        <f>VLOOKUP(AC179,moves!A:D,4,FALSE)</f>
        <v>5</v>
      </c>
      <c r="AF179" s="8" t="str">
        <f>VLOOKUP(AC179,moves!A:E,5,FALSE)</f>
        <v>If this move was used last turn, attack strength is increased to 6 but inflict the Confused status on the user.</v>
      </c>
      <c r="AG179" s="6">
        <v>0</v>
      </c>
      <c r="AH179" s="6">
        <v>0</v>
      </c>
      <c r="AI179" s="8" t="str" cm="1">
        <f t="array" ref="AI179">_xlfn.IFS(AG179=1, "starter", AH179=1, "legendary",T179&lt; 13, "weak",T179&lt; 17, "moderate", TRUE, "strong")</f>
        <v>strong</v>
      </c>
      <c r="AK179">
        <v>2</v>
      </c>
      <c r="AL179" s="8">
        <v>0</v>
      </c>
      <c r="AM179" s="8">
        <v>0</v>
      </c>
    </row>
    <row r="180" spans="1:39" x14ac:dyDescent="0.25">
      <c r="A180" s="9">
        <v>172</v>
      </c>
      <c r="B180" s="6" t="s">
        <v>71</v>
      </c>
      <c r="C180" t="s">
        <v>11</v>
      </c>
      <c r="D180"/>
      <c r="E180" s="1">
        <v>20</v>
      </c>
      <c r="F180" s="1">
        <v>80</v>
      </c>
      <c r="G180" s="1">
        <v>15</v>
      </c>
      <c r="H180" s="1">
        <v>70</v>
      </c>
      <c r="I180" s="1">
        <v>35</v>
      </c>
      <c r="J180" s="1">
        <v>60</v>
      </c>
      <c r="K180" t="s">
        <v>272</v>
      </c>
      <c r="L180" s="1" t="s">
        <v>298</v>
      </c>
      <c r="M180" s="1" t="s">
        <v>300</v>
      </c>
      <c r="N180" s="9">
        <f t="shared" si="89"/>
        <v>7.1</v>
      </c>
      <c r="O180" s="9">
        <f t="shared" si="90"/>
        <v>2.2999999999999998</v>
      </c>
      <c r="P180" s="9">
        <v>0</v>
      </c>
      <c r="Q180" s="9">
        <v>1</v>
      </c>
      <c r="R180" s="12">
        <f t="shared" si="91"/>
        <v>7</v>
      </c>
      <c r="S180" s="12">
        <f t="shared" si="92"/>
        <v>3</v>
      </c>
      <c r="T180" s="12">
        <f t="shared" si="93"/>
        <v>10</v>
      </c>
      <c r="U180" s="1" t="str">
        <f t="shared" si="87"/>
        <v>electric</v>
      </c>
      <c r="V180" t="s">
        <v>8</v>
      </c>
      <c r="W180" t="s">
        <v>39</v>
      </c>
      <c r="X180" s="1" t="s">
        <v>16</v>
      </c>
      <c r="Y180" t="str">
        <f>B181</f>
        <v>Pikachu</v>
      </c>
      <c r="Z180" s="12">
        <f t="shared" si="88"/>
        <v>4</v>
      </c>
      <c r="AA180" t="str">
        <f t="shared" si="70"/>
        <v>Pichu</v>
      </c>
      <c r="AB180"/>
      <c r="AC180" t="s">
        <v>651</v>
      </c>
      <c r="AD180" s="8" t="str">
        <f>VLOOKUP(AC180,moves!A:B,2,FALSE)</f>
        <v>electric</v>
      </c>
      <c r="AE180" s="8">
        <f>VLOOKUP(AC180,moves!A:D,4,FALSE)</f>
        <v>1</v>
      </c>
      <c r="AF180" s="8" t="str">
        <f>VLOOKUP(AC180,moves!A:E,5,FALSE)</f>
        <v>Inflict the Paralysed status on the target. If the target is already Paralysed, attack strength is increased to 3.</v>
      </c>
      <c r="AG180" s="6">
        <v>1</v>
      </c>
      <c r="AH180" s="6">
        <v>0</v>
      </c>
      <c r="AI180" s="8" t="str" cm="1">
        <f t="array" ref="AI180">_xlfn.IFS(AG180=1, "starter", AH180=1, "legendary",T180&lt; 13, "weak",T180&lt; 17, "moderate", TRUE, "strong")</f>
        <v>starter</v>
      </c>
      <c r="AK180">
        <v>1</v>
      </c>
      <c r="AL180" s="8">
        <v>0</v>
      </c>
      <c r="AM180" s="8">
        <v>0</v>
      </c>
    </row>
    <row r="181" spans="1:39" x14ac:dyDescent="0.25">
      <c r="A181" s="9">
        <v>25</v>
      </c>
      <c r="B181" s="6" t="s">
        <v>10</v>
      </c>
      <c r="C181" t="s">
        <v>11</v>
      </c>
      <c r="D181"/>
      <c r="E181" s="1">
        <v>35</v>
      </c>
      <c r="F181" s="1">
        <v>110</v>
      </c>
      <c r="G181" s="1">
        <v>40</v>
      </c>
      <c r="H181" s="1">
        <v>100</v>
      </c>
      <c r="I181" s="1">
        <v>50</v>
      </c>
      <c r="J181" s="1">
        <v>90</v>
      </c>
      <c r="K181" t="s">
        <v>251</v>
      </c>
      <c r="L181" s="1" t="s">
        <v>298</v>
      </c>
      <c r="M181" s="1" t="s">
        <v>300</v>
      </c>
      <c r="N181" s="9">
        <f t="shared" si="89"/>
        <v>10.1</v>
      </c>
      <c r="O181" s="9">
        <f t="shared" si="90"/>
        <v>4.0999999999999996</v>
      </c>
      <c r="P181" s="9">
        <v>0</v>
      </c>
      <c r="Q181" s="9">
        <v>0</v>
      </c>
      <c r="R181" s="12">
        <f t="shared" si="91"/>
        <v>10</v>
      </c>
      <c r="S181" s="12">
        <f t="shared" si="92"/>
        <v>4</v>
      </c>
      <c r="T181" s="12">
        <f t="shared" si="93"/>
        <v>14</v>
      </c>
      <c r="U181" s="1" t="str">
        <f t="shared" si="87"/>
        <v>electric</v>
      </c>
      <c r="V181" t="s">
        <v>8</v>
      </c>
      <c r="W181" t="s">
        <v>39</v>
      </c>
      <c r="X181" s="1" t="s">
        <v>16</v>
      </c>
      <c r="Y181" t="str">
        <f>B182</f>
        <v>Raichu</v>
      </c>
      <c r="Z181" s="12">
        <f t="shared" si="88"/>
        <v>6</v>
      </c>
      <c r="AA181" t="str">
        <f t="shared" si="70"/>
        <v>Pikachu</v>
      </c>
      <c r="AB181"/>
      <c r="AC181" t="s">
        <v>509</v>
      </c>
      <c r="AD181" s="8" t="str">
        <f>VLOOKUP(AC181,moves!A:B,2,FALSE)</f>
        <v>steel</v>
      </c>
      <c r="AE181" s="8">
        <f>VLOOKUP(AC181,moves!A:D,4,FALSE)</f>
        <v>4</v>
      </c>
      <c r="AF181" s="8" t="str">
        <f>VLOOKUP(AC181,moves!A:E,5,FALSE)</f>
        <v>When the target is next attacked, add a regular hit to the roll.</v>
      </c>
      <c r="AG181" s="6">
        <v>0</v>
      </c>
      <c r="AH181" s="6">
        <v>0</v>
      </c>
      <c r="AI181" s="8" t="str" cm="1">
        <f t="array" ref="AI181">_xlfn.IFS(AG181=1, "starter", AH181=1, "legendary",T181&lt; 13, "weak",T181&lt; 17, "moderate", TRUE, "strong")</f>
        <v>moderate</v>
      </c>
      <c r="AK181">
        <v>2</v>
      </c>
      <c r="AL181" s="8">
        <v>0</v>
      </c>
      <c r="AM181" s="8">
        <v>0</v>
      </c>
    </row>
    <row r="182" spans="1:39" x14ac:dyDescent="0.25">
      <c r="A182" s="9">
        <v>26</v>
      </c>
      <c r="B182" s="6" t="s">
        <v>12</v>
      </c>
      <c r="C182" t="s">
        <v>11</v>
      </c>
      <c r="D182"/>
      <c r="E182" s="1">
        <v>60</v>
      </c>
      <c r="F182" s="1">
        <v>90</v>
      </c>
      <c r="G182" s="1">
        <v>55</v>
      </c>
      <c r="H182" s="1">
        <v>90</v>
      </c>
      <c r="I182" s="1">
        <v>80</v>
      </c>
      <c r="J182" s="1">
        <v>110</v>
      </c>
      <c r="K182" t="s">
        <v>251</v>
      </c>
      <c r="L182" s="1" t="s">
        <v>298</v>
      </c>
      <c r="M182" s="1" t="s">
        <v>300</v>
      </c>
      <c r="N182" s="9">
        <f t="shared" si="89"/>
        <v>9.8000000000000007</v>
      </c>
      <c r="O182" s="9">
        <f t="shared" si="90"/>
        <v>6.45</v>
      </c>
      <c r="P182" s="9">
        <v>1</v>
      </c>
      <c r="Q182" s="9">
        <v>1</v>
      </c>
      <c r="R182" s="12">
        <f t="shared" si="91"/>
        <v>11</v>
      </c>
      <c r="S182" s="12">
        <f t="shared" si="92"/>
        <v>7</v>
      </c>
      <c r="T182" s="12">
        <f t="shared" si="93"/>
        <v>18</v>
      </c>
      <c r="U182" s="1" t="str">
        <f t="shared" si="87"/>
        <v>electric</v>
      </c>
      <c r="V182" t="s">
        <v>8</v>
      </c>
      <c r="W182" t="s">
        <v>39</v>
      </c>
      <c r="X182" s="1" t="s">
        <v>16</v>
      </c>
      <c r="Y182"/>
      <c r="Z182" s="12" t="str">
        <f>IF(ISBLANK(Y182), "", ROUND(( (T184-6)*(T184-7) - (T182-6)*(T182-7) )/15, 0) + 1)</f>
        <v/>
      </c>
      <c r="AA182" t="str">
        <f t="shared" si="70"/>
        <v>Raichu</v>
      </c>
      <c r="AB182"/>
      <c r="AC182" t="s">
        <v>489</v>
      </c>
      <c r="AD182" s="8" t="str">
        <f>VLOOKUP(AC182,moves!A:B,2,FALSE)</f>
        <v>electric</v>
      </c>
      <c r="AE182" s="8">
        <f>VLOOKUP(AC182,moves!A:D,4,FALSE)</f>
        <v>5</v>
      </c>
      <c r="AF182" s="8" t="str">
        <f>VLOOKUP(AC182,moves!A:E,5,FALSE)</f>
        <v>If 2+ status symbols are rolled: Inflict the Paralysed status on the target.</v>
      </c>
      <c r="AG182" s="6">
        <v>0</v>
      </c>
      <c r="AH182" s="6">
        <v>0</v>
      </c>
      <c r="AI182" s="8" t="str" cm="1">
        <f t="array" ref="AI182">_xlfn.IFS(AG182=1, "starter", AH182=1, "legendary",T182&lt; 13, "weak",T182&lt; 17, "moderate", TRUE, "strong")</f>
        <v>strong</v>
      </c>
      <c r="AK182">
        <v>3</v>
      </c>
      <c r="AL182" s="8">
        <v>0</v>
      </c>
      <c r="AM182" s="8">
        <v>1</v>
      </c>
    </row>
    <row r="183" spans="1:39" s="8" customFormat="1" x14ac:dyDescent="0.25">
      <c r="A183" s="9" t="s">
        <v>1340</v>
      </c>
      <c r="B183" s="11" t="s">
        <v>12</v>
      </c>
      <c r="C183" s="8" t="s">
        <v>11</v>
      </c>
      <c r="E183" s="9">
        <v>60</v>
      </c>
      <c r="F183" s="9">
        <v>90</v>
      </c>
      <c r="G183" s="9">
        <v>55</v>
      </c>
      <c r="H183" s="9">
        <v>90</v>
      </c>
      <c r="I183" s="9">
        <v>80</v>
      </c>
      <c r="J183" s="9">
        <v>110</v>
      </c>
      <c r="K183" s="8" t="s">
        <v>251</v>
      </c>
      <c r="L183" s="9" t="s">
        <v>298</v>
      </c>
      <c r="M183" s="9" t="s">
        <v>300</v>
      </c>
      <c r="N183" s="9">
        <f t="shared" ref="N183" si="141">(0.4*J183 + 0.5*MAX(F183,H183) + 0.1*MIN(F183,H183)) / 10</f>
        <v>9.8000000000000007</v>
      </c>
      <c r="O183" s="9">
        <f t="shared" ref="O183" si="142">(0.4*E183 + 0.3*G183 + 0.3*I183) / 10</f>
        <v>6.45</v>
      </c>
      <c r="P183" s="9">
        <v>2</v>
      </c>
      <c r="Q183" s="9">
        <v>3</v>
      </c>
      <c r="R183" s="12">
        <f t="shared" ref="R183" si="143">ROUND(N183,0)+P183</f>
        <v>12</v>
      </c>
      <c r="S183" s="12">
        <f t="shared" ref="S183" si="144">ROUND(O183,0)+Q183</f>
        <v>9</v>
      </c>
      <c r="T183" s="12">
        <f t="shared" ref="T183" si="145">SUM(ROUND(R183,0),ROUND(S183,0))</f>
        <v>21</v>
      </c>
      <c r="U183" s="9" t="str">
        <f t="shared" ref="U183" si="146">C183</f>
        <v>electric</v>
      </c>
      <c r="V183" s="8" t="s">
        <v>8</v>
      </c>
      <c r="W183" s="8" t="s">
        <v>39</v>
      </c>
      <c r="X183" s="9" t="s">
        <v>16</v>
      </c>
      <c r="Z183" s="12" t="str">
        <f>IF(ISBLANK(Y183), "", ROUND(( (T185-6)*(T185-7) - (T183-6)*(T183-7) )/15, 0) + 1)</f>
        <v/>
      </c>
      <c r="AA183" s="8" t="str">
        <f t="shared" ref="AA183" si="147">B183</f>
        <v>Raichu</v>
      </c>
      <c r="AB183" s="8" t="s">
        <v>1338</v>
      </c>
      <c r="AC183" s="8" t="s">
        <v>489</v>
      </c>
      <c r="AD183" s="8" t="str">
        <f>VLOOKUP(AC183,moves!A:B,2,FALSE)</f>
        <v>electric</v>
      </c>
      <c r="AE183" s="8">
        <f>VLOOKUP(AC183,moves!A:D,4,FALSE)</f>
        <v>5</v>
      </c>
      <c r="AF183" s="8" t="str">
        <f>VLOOKUP(AC183,moves!A:E,5,FALSE)</f>
        <v>If 2+ status symbols are rolled: Inflict the Paralysed status on the target.</v>
      </c>
      <c r="AG183" s="11">
        <v>0</v>
      </c>
      <c r="AH183" s="11">
        <v>1</v>
      </c>
      <c r="AI183" s="8" t="str" cm="1">
        <f t="array" ref="AI183">_xlfn.IFS(AG183=1, "starter", AH183=1, "legendary",T183&lt; 13, "weak",T183&lt; 17, "moderate", TRUE, "strong")</f>
        <v>legendary</v>
      </c>
      <c r="AK183" s="8">
        <v>3</v>
      </c>
      <c r="AL183" s="8">
        <v>0</v>
      </c>
      <c r="AM183" s="8">
        <v>2</v>
      </c>
    </row>
    <row r="184" spans="1:39" x14ac:dyDescent="0.25">
      <c r="A184" s="9">
        <v>298</v>
      </c>
      <c r="B184" s="6" t="s">
        <v>119</v>
      </c>
      <c r="C184" t="s">
        <v>8</v>
      </c>
      <c r="D184" t="s">
        <v>16</v>
      </c>
      <c r="E184" s="1">
        <v>50</v>
      </c>
      <c r="F184" s="1">
        <f>20*2</f>
        <v>40</v>
      </c>
      <c r="G184" s="1">
        <v>40</v>
      </c>
      <c r="H184" s="1">
        <v>20</v>
      </c>
      <c r="I184" s="1">
        <v>40</v>
      </c>
      <c r="J184" s="1">
        <v>20</v>
      </c>
      <c r="K184" t="s">
        <v>291</v>
      </c>
      <c r="L184" s="2" t="s">
        <v>301</v>
      </c>
      <c r="M184" s="1" t="s">
        <v>302</v>
      </c>
      <c r="N184" s="9">
        <f t="shared" si="89"/>
        <v>3</v>
      </c>
      <c r="O184" s="9">
        <f t="shared" si="90"/>
        <v>4.4000000000000004</v>
      </c>
      <c r="P184" s="9">
        <v>0</v>
      </c>
      <c r="Q184" s="9">
        <v>0</v>
      </c>
      <c r="R184" s="12">
        <f t="shared" si="91"/>
        <v>3</v>
      </c>
      <c r="S184" s="12">
        <f t="shared" si="92"/>
        <v>4</v>
      </c>
      <c r="T184" s="12">
        <f t="shared" si="93"/>
        <v>7</v>
      </c>
      <c r="U184" s="1" t="str">
        <f t="shared" si="87"/>
        <v>normal</v>
      </c>
      <c r="V184" s="1" t="str">
        <f t="shared" ref="V184:V189" si="148">D184</f>
        <v>fairy</v>
      </c>
      <c r="W184" t="s">
        <v>6</v>
      </c>
      <c r="X184" s="1" t="s">
        <v>33</v>
      </c>
      <c r="Y184" s="1" t="str">
        <f>B185</f>
        <v>Marill</v>
      </c>
      <c r="Z184" s="12">
        <f t="shared" si="88"/>
        <v>2</v>
      </c>
      <c r="AA184" t="str">
        <f t="shared" si="70"/>
        <v>Azurill</v>
      </c>
      <c r="AB184"/>
      <c r="AC184" t="s">
        <v>555</v>
      </c>
      <c r="AD184" s="8" t="str">
        <f>VLOOKUP(AC184,moves!A:B,2,FALSE)</f>
        <v>normal</v>
      </c>
      <c r="AE184" s="8">
        <f>VLOOKUP(AC184,moves!A:D,4,FALSE)</f>
        <v>1</v>
      </c>
      <c r="AF184" s="8" t="str">
        <f>VLOOKUP(AC184,moves!A:E,5,FALSE)</f>
        <v>Roll a status dice and inflict the result on the target.</v>
      </c>
      <c r="AG184" s="6">
        <v>0</v>
      </c>
      <c r="AH184" s="6">
        <v>0</v>
      </c>
      <c r="AI184" s="8" t="str" cm="1">
        <f t="array" ref="AI184">_xlfn.IFS(AG184=1, "starter", AH184=1, "legendary",T184&lt; 13, "weak",T184&lt; 17, "moderate", TRUE, "strong")</f>
        <v>weak</v>
      </c>
      <c r="AK184">
        <v>1</v>
      </c>
      <c r="AL184" s="8">
        <v>0</v>
      </c>
      <c r="AM184" s="8">
        <v>0</v>
      </c>
    </row>
    <row r="185" spans="1:39" x14ac:dyDescent="0.25">
      <c r="A185" s="9">
        <v>183</v>
      </c>
      <c r="B185" s="6" t="s">
        <v>75</v>
      </c>
      <c r="C185" t="s">
        <v>6</v>
      </c>
      <c r="D185" t="s">
        <v>16</v>
      </c>
      <c r="E185">
        <v>70</v>
      </c>
      <c r="F185" s="1">
        <f>20*2</f>
        <v>40</v>
      </c>
      <c r="G185" s="1">
        <v>50</v>
      </c>
      <c r="H185" s="1">
        <v>20</v>
      </c>
      <c r="I185" s="1">
        <v>50</v>
      </c>
      <c r="J185" s="1">
        <v>40</v>
      </c>
      <c r="K185" t="s">
        <v>274</v>
      </c>
      <c r="L185" s="10" t="s">
        <v>301</v>
      </c>
      <c r="M185" s="1" t="s">
        <v>302</v>
      </c>
      <c r="N185" s="9">
        <f t="shared" si="89"/>
        <v>3.8</v>
      </c>
      <c r="O185" s="9">
        <f t="shared" si="90"/>
        <v>5.8</v>
      </c>
      <c r="P185" s="9">
        <v>0</v>
      </c>
      <c r="Q185" s="9">
        <v>0</v>
      </c>
      <c r="R185" s="12">
        <f t="shared" si="91"/>
        <v>4</v>
      </c>
      <c r="S185" s="12">
        <f t="shared" si="92"/>
        <v>6</v>
      </c>
      <c r="T185" s="12">
        <f t="shared" si="93"/>
        <v>10</v>
      </c>
      <c r="U185" s="1" t="str">
        <f t="shared" si="87"/>
        <v>water</v>
      </c>
      <c r="V185" s="1" t="str">
        <f t="shared" si="148"/>
        <v>fairy</v>
      </c>
      <c r="W185" t="s">
        <v>8</v>
      </c>
      <c r="X185" s="1" t="s">
        <v>33</v>
      </c>
      <c r="Y185" s="1" t="str">
        <f>B186</f>
        <v>Azumarill</v>
      </c>
      <c r="Z185" s="12">
        <f t="shared" si="88"/>
        <v>8</v>
      </c>
      <c r="AA185" t="str">
        <f t="shared" si="70"/>
        <v>Marill</v>
      </c>
      <c r="AB185"/>
      <c r="AC185" t="s">
        <v>511</v>
      </c>
      <c r="AD185" s="8" t="str">
        <f>VLOOKUP(AC185,moves!A:B,2,FALSE)</f>
        <v>fairy</v>
      </c>
      <c r="AE185" s="8">
        <f>VLOOKUP(AC185,moves!A:D,4,FALSE)</f>
        <v>3</v>
      </c>
      <c r="AF185" s="8" t="str">
        <f>VLOOKUP(AC185,moves!A:E,5,FALSE)</f>
        <v>When the target next attacks, remove a regular hit from the roll.</v>
      </c>
      <c r="AG185" s="6">
        <v>0</v>
      </c>
      <c r="AH185" s="6">
        <v>0</v>
      </c>
      <c r="AI185" s="8" t="str" cm="1">
        <f t="array" ref="AI185">_xlfn.IFS(AG185=1, "starter", AH185=1, "legendary",T185&lt; 13, "weak",T185&lt; 17, "moderate", TRUE, "strong")</f>
        <v>weak</v>
      </c>
      <c r="AK185">
        <v>2</v>
      </c>
      <c r="AL185" s="8">
        <v>0</v>
      </c>
      <c r="AM185" s="8">
        <v>0</v>
      </c>
    </row>
    <row r="186" spans="1:39" x14ac:dyDescent="0.25">
      <c r="A186" s="9">
        <v>184</v>
      </c>
      <c r="B186" s="6" t="s">
        <v>76</v>
      </c>
      <c r="C186" t="s">
        <v>6</v>
      </c>
      <c r="D186" t="s">
        <v>16</v>
      </c>
      <c r="E186">
        <v>100</v>
      </c>
      <c r="F186" s="1">
        <f>50*2</f>
        <v>100</v>
      </c>
      <c r="G186" s="1">
        <v>80</v>
      </c>
      <c r="H186" s="1">
        <v>60</v>
      </c>
      <c r="I186" s="1">
        <v>80</v>
      </c>
      <c r="J186" s="1">
        <v>50</v>
      </c>
      <c r="K186" t="s">
        <v>275</v>
      </c>
      <c r="L186" s="10" t="s">
        <v>301</v>
      </c>
      <c r="M186" s="1" t="s">
        <v>302</v>
      </c>
      <c r="N186" s="9">
        <f t="shared" si="89"/>
        <v>7.6</v>
      </c>
      <c r="O186" s="9">
        <f t="shared" si="90"/>
        <v>8.8000000000000007</v>
      </c>
      <c r="P186" s="9">
        <v>0</v>
      </c>
      <c r="Q186" s="9">
        <v>0</v>
      </c>
      <c r="R186" s="12">
        <f t="shared" si="91"/>
        <v>8</v>
      </c>
      <c r="S186" s="12">
        <f t="shared" si="92"/>
        <v>9</v>
      </c>
      <c r="T186" s="12">
        <f t="shared" si="93"/>
        <v>17</v>
      </c>
      <c r="U186" s="1" t="str">
        <f t="shared" si="87"/>
        <v>water</v>
      </c>
      <c r="V186" s="1" t="str">
        <f t="shared" si="148"/>
        <v>fairy</v>
      </c>
      <c r="W186" t="s">
        <v>8</v>
      </c>
      <c r="X186" s="1" t="s">
        <v>33</v>
      </c>
      <c r="Z186" s="12" t="str">
        <f t="shared" si="88"/>
        <v/>
      </c>
      <c r="AA186" t="str">
        <f t="shared" si="70"/>
        <v>Azumarill</v>
      </c>
      <c r="AB186"/>
      <c r="AC186" t="s">
        <v>589</v>
      </c>
      <c r="AD186" s="8" t="str">
        <f>VLOOKUP(AC186,moves!A:B,2,FALSE)</f>
        <v>water</v>
      </c>
      <c r="AE186" s="8">
        <f>VLOOKUP(AC186,moves!A:D,4,FALSE)</f>
        <v>4</v>
      </c>
      <c r="AF186" s="8" t="str">
        <f>VLOOKUP(AC186,moves!A:E,5,FALSE)</f>
        <v>For each other non-fainted Pokémon in your party with the move Surf: Attack strength is increased by 1.</v>
      </c>
      <c r="AG186" s="6">
        <v>0</v>
      </c>
      <c r="AH186" s="6">
        <v>0</v>
      </c>
      <c r="AI186" s="8" t="str" cm="1">
        <f t="array" ref="AI186">_xlfn.IFS(AG186=1, "starter", AH186=1, "legendary",T186&lt; 13, "weak",T186&lt; 17, "moderate", TRUE, "strong")</f>
        <v>strong</v>
      </c>
      <c r="AK186">
        <v>3</v>
      </c>
      <c r="AL186" s="8">
        <v>0</v>
      </c>
      <c r="AM186" s="8">
        <v>0</v>
      </c>
    </row>
    <row r="187" spans="1:39" x14ac:dyDescent="0.25">
      <c r="A187" s="9">
        <v>41</v>
      </c>
      <c r="B187" s="6" t="s">
        <v>20</v>
      </c>
      <c r="C187" t="s">
        <v>3</v>
      </c>
      <c r="D187" t="s">
        <v>5</v>
      </c>
      <c r="E187">
        <v>40</v>
      </c>
      <c r="F187">
        <v>45</v>
      </c>
      <c r="G187">
        <v>35</v>
      </c>
      <c r="H187">
        <v>30</v>
      </c>
      <c r="I187">
        <v>40</v>
      </c>
      <c r="J187">
        <v>55</v>
      </c>
      <c r="K187" t="s">
        <v>254</v>
      </c>
      <c r="L187" s="2" t="s">
        <v>304</v>
      </c>
      <c r="M187" s="1" t="s">
        <v>302</v>
      </c>
      <c r="N187" s="9">
        <f t="shared" si="89"/>
        <v>4.75</v>
      </c>
      <c r="O187" s="9">
        <f t="shared" si="90"/>
        <v>3.85</v>
      </c>
      <c r="P187" s="9">
        <v>0</v>
      </c>
      <c r="Q187" s="9">
        <v>0</v>
      </c>
      <c r="R187" s="12">
        <f t="shared" si="91"/>
        <v>5</v>
      </c>
      <c r="S187" s="12">
        <f t="shared" si="92"/>
        <v>4</v>
      </c>
      <c r="T187" s="12">
        <f t="shared" si="93"/>
        <v>9</v>
      </c>
      <c r="U187" s="1" t="str">
        <f t="shared" si="87"/>
        <v>poison</v>
      </c>
      <c r="V187" s="1" t="str">
        <f t="shared" si="148"/>
        <v>flying</v>
      </c>
      <c r="W187" t="s">
        <v>7</v>
      </c>
      <c r="X187" s="1" t="s">
        <v>8</v>
      </c>
      <c r="Y187" s="1" t="str">
        <f>B188</f>
        <v>Golbat</v>
      </c>
      <c r="Z187" s="12">
        <f t="shared" si="88"/>
        <v>5</v>
      </c>
      <c r="AA187" t="str">
        <f t="shared" si="70"/>
        <v>Zubat</v>
      </c>
      <c r="AB187"/>
      <c r="AC187" t="s">
        <v>679</v>
      </c>
      <c r="AD187" s="8" t="str">
        <f>VLOOKUP(AC187,moves!A:B,2,FALSE)</f>
        <v>poison</v>
      </c>
      <c r="AE187" s="8">
        <f>VLOOKUP(AC187,moves!A:D,4,FALSE)</f>
        <v>2</v>
      </c>
      <c r="AF187" s="8" t="str">
        <f>VLOOKUP(AC187,moves!A:E,5,FALSE)</f>
        <v>Inflict the Poisoned status on the target.</v>
      </c>
      <c r="AG187" s="6">
        <v>0</v>
      </c>
      <c r="AH187" s="6">
        <v>0</v>
      </c>
      <c r="AI187" s="8" t="str" cm="1">
        <f t="array" ref="AI187">_xlfn.IFS(AG187=1, "starter", AH187=1, "legendary",T187&lt; 13, "weak",T187&lt; 17, "moderate", TRUE, "strong")</f>
        <v>weak</v>
      </c>
      <c r="AK187">
        <v>1</v>
      </c>
      <c r="AL187" s="8">
        <v>0</v>
      </c>
      <c r="AM187" s="8">
        <v>0</v>
      </c>
    </row>
    <row r="188" spans="1:39" x14ac:dyDescent="0.25">
      <c r="A188" s="9">
        <v>42</v>
      </c>
      <c r="B188" s="6" t="s">
        <v>21</v>
      </c>
      <c r="C188" t="s">
        <v>3</v>
      </c>
      <c r="D188" t="s">
        <v>5</v>
      </c>
      <c r="E188">
        <v>75</v>
      </c>
      <c r="F188">
        <v>80</v>
      </c>
      <c r="G188">
        <v>70</v>
      </c>
      <c r="H188">
        <v>65</v>
      </c>
      <c r="I188">
        <v>75</v>
      </c>
      <c r="J188">
        <v>90</v>
      </c>
      <c r="K188" t="s">
        <v>254</v>
      </c>
      <c r="L188" s="2" t="s">
        <v>304</v>
      </c>
      <c r="M188" s="1" t="s">
        <v>302</v>
      </c>
      <c r="N188" s="9">
        <f t="shared" si="89"/>
        <v>8.25</v>
      </c>
      <c r="O188" s="9">
        <f t="shared" si="90"/>
        <v>7.35</v>
      </c>
      <c r="P188" s="9">
        <v>0</v>
      </c>
      <c r="Q188" s="9">
        <v>0</v>
      </c>
      <c r="R188" s="12">
        <f t="shared" si="91"/>
        <v>8</v>
      </c>
      <c r="S188" s="12">
        <f t="shared" si="92"/>
        <v>7</v>
      </c>
      <c r="T188" s="12">
        <f t="shared" si="93"/>
        <v>15</v>
      </c>
      <c r="U188" s="1" t="str">
        <f t="shared" si="87"/>
        <v>poison</v>
      </c>
      <c r="V188" s="1" t="str">
        <f t="shared" si="148"/>
        <v>flying</v>
      </c>
      <c r="W188" t="s">
        <v>7</v>
      </c>
      <c r="X188" s="1" t="s">
        <v>8</v>
      </c>
      <c r="Y188" s="1" t="str">
        <f>B189</f>
        <v>Crobat</v>
      </c>
      <c r="Z188" s="12">
        <f t="shared" si="88"/>
        <v>7</v>
      </c>
      <c r="AA188" t="str">
        <f t="shared" si="70"/>
        <v>Golbat</v>
      </c>
      <c r="AB188"/>
      <c r="AC188" t="s">
        <v>518</v>
      </c>
      <c r="AD188" s="8" t="str">
        <f>VLOOKUP(AC188,moves!A:B,2,FALSE)</f>
        <v>flying</v>
      </c>
      <c r="AE188" s="8">
        <f>VLOOKUP(AC188,moves!A:D,4,FALSE)</f>
        <v>4</v>
      </c>
      <c r="AF188" s="8" t="str">
        <f>VLOOKUP(AC188,moves!A:E,5,FALSE)</f>
        <v>Critical hits deal +1 damage.</v>
      </c>
      <c r="AG188" s="6">
        <v>0</v>
      </c>
      <c r="AH188" s="6">
        <v>0</v>
      </c>
      <c r="AI188" s="8" t="str" cm="1">
        <f t="array" ref="AI188">_xlfn.IFS(AG188=1, "starter", AH188=1, "legendary",T188&lt; 13, "weak",T188&lt; 17, "moderate", TRUE, "strong")</f>
        <v>moderate</v>
      </c>
      <c r="AK188">
        <v>2</v>
      </c>
      <c r="AL188" s="8">
        <v>0</v>
      </c>
      <c r="AM188" s="8">
        <v>0</v>
      </c>
    </row>
    <row r="189" spans="1:39" x14ac:dyDescent="0.25">
      <c r="A189" s="9">
        <v>169</v>
      </c>
      <c r="B189" s="6" t="s">
        <v>70</v>
      </c>
      <c r="C189" t="s">
        <v>3</v>
      </c>
      <c r="D189" t="s">
        <v>5</v>
      </c>
      <c r="E189">
        <v>85</v>
      </c>
      <c r="F189">
        <v>90</v>
      </c>
      <c r="G189">
        <v>80</v>
      </c>
      <c r="H189">
        <v>70</v>
      </c>
      <c r="I189">
        <v>80</v>
      </c>
      <c r="J189">
        <v>130</v>
      </c>
      <c r="K189" t="s">
        <v>254</v>
      </c>
      <c r="L189" s="2" t="s">
        <v>304</v>
      </c>
      <c r="M189" s="1" t="s">
        <v>302</v>
      </c>
      <c r="N189" s="9">
        <f t="shared" si="89"/>
        <v>10.4</v>
      </c>
      <c r="O189" s="9">
        <f t="shared" si="90"/>
        <v>8.1999999999999993</v>
      </c>
      <c r="P189" s="9">
        <v>1</v>
      </c>
      <c r="Q189" s="9">
        <v>0</v>
      </c>
      <c r="R189" s="12">
        <f t="shared" si="91"/>
        <v>11</v>
      </c>
      <c r="S189" s="12">
        <f t="shared" si="92"/>
        <v>8</v>
      </c>
      <c r="T189" s="12">
        <f t="shared" si="93"/>
        <v>19</v>
      </c>
      <c r="U189" s="1" t="str">
        <f t="shared" si="87"/>
        <v>poison</v>
      </c>
      <c r="V189" s="1" t="str">
        <f t="shared" si="148"/>
        <v>flying</v>
      </c>
      <c r="W189" t="s">
        <v>7</v>
      </c>
      <c r="X189" s="1" t="s">
        <v>8</v>
      </c>
      <c r="Z189" s="12" t="str">
        <f t="shared" si="88"/>
        <v/>
      </c>
      <c r="AA189" t="str">
        <f t="shared" si="70"/>
        <v>Crobat</v>
      </c>
      <c r="AB189"/>
      <c r="AC189" t="s">
        <v>467</v>
      </c>
      <c r="AD189" s="8" t="str">
        <f>VLOOKUP(AC189,moves!A:B,2,FALSE)</f>
        <v>poison</v>
      </c>
      <c r="AE189" s="8">
        <f>VLOOKUP(AC189,moves!A:D,4,FALSE)</f>
        <v>4</v>
      </c>
      <c r="AF189" s="8" t="str">
        <f>VLOOKUP(AC189,moves!A:E,5,FALSE)</f>
        <v>Critical hits deal +1 damage.</v>
      </c>
      <c r="AG189" s="6">
        <v>0</v>
      </c>
      <c r="AH189" s="6">
        <v>0</v>
      </c>
      <c r="AI189" s="8" t="str" cm="1">
        <f t="array" ref="AI189">_xlfn.IFS(AG189=1, "starter", AH189=1, "legendary",T189&lt; 13, "weak",T189&lt; 17, "moderate", TRUE, "strong")</f>
        <v>strong</v>
      </c>
      <c r="AK189">
        <v>3</v>
      </c>
      <c r="AL189" s="8">
        <v>0</v>
      </c>
      <c r="AM189" s="8">
        <v>0</v>
      </c>
    </row>
    <row r="190" spans="1:39" x14ac:dyDescent="0.25">
      <c r="A190" s="9">
        <v>66</v>
      </c>
      <c r="B190" s="6" t="s">
        <v>29</v>
      </c>
      <c r="C190" t="s">
        <v>22</v>
      </c>
      <c r="D190"/>
      <c r="E190">
        <v>70</v>
      </c>
      <c r="F190">
        <v>80</v>
      </c>
      <c r="G190">
        <v>50</v>
      </c>
      <c r="H190">
        <v>35</v>
      </c>
      <c r="I190">
        <v>35</v>
      </c>
      <c r="J190">
        <v>35</v>
      </c>
      <c r="K190" t="s">
        <v>259</v>
      </c>
      <c r="L190" s="2" t="s">
        <v>304</v>
      </c>
      <c r="M190" s="2" t="s">
        <v>300</v>
      </c>
      <c r="N190" s="9">
        <f t="shared" si="89"/>
        <v>5.75</v>
      </c>
      <c r="O190" s="9">
        <f t="shared" si="90"/>
        <v>5.35</v>
      </c>
      <c r="P190" s="9">
        <v>-1</v>
      </c>
      <c r="Q190" s="9">
        <v>0</v>
      </c>
      <c r="R190" s="12">
        <f t="shared" si="91"/>
        <v>5</v>
      </c>
      <c r="S190" s="12">
        <f t="shared" si="92"/>
        <v>5</v>
      </c>
      <c r="T190" s="12">
        <f t="shared" si="93"/>
        <v>10</v>
      </c>
      <c r="U190" s="1" t="str">
        <f t="shared" si="87"/>
        <v>fighting</v>
      </c>
      <c r="V190" t="s">
        <v>8</v>
      </c>
      <c r="W190" t="s">
        <v>13</v>
      </c>
      <c r="X190" s="1" t="s">
        <v>67</v>
      </c>
      <c r="Y190" s="1" t="str">
        <f>B191</f>
        <v>Machoke</v>
      </c>
      <c r="Z190" s="12">
        <f t="shared" si="88"/>
        <v>4</v>
      </c>
      <c r="AA190" t="str">
        <f t="shared" si="70"/>
        <v>Machop</v>
      </c>
      <c r="AB190"/>
      <c r="AC190" t="s">
        <v>531</v>
      </c>
      <c r="AD190" s="8" t="str">
        <f>VLOOKUP(AC190,moves!A:B,2,FALSE)</f>
        <v>fighting</v>
      </c>
      <c r="AE190" s="8">
        <f>VLOOKUP(AC190,moves!A:D,4,FALSE)</f>
        <v>2</v>
      </c>
      <c r="AF190" s="8" t="str">
        <f>VLOOKUP(AC190,moves!A:E,5,FALSE)</f>
        <v>For each fainted Pokémon in your party: Attack strength is increased by 1.</v>
      </c>
      <c r="AG190" s="6">
        <v>1</v>
      </c>
      <c r="AH190" s="6">
        <v>0</v>
      </c>
      <c r="AI190" s="8" t="str" cm="1">
        <f t="array" ref="AI190">_xlfn.IFS(AG190=1, "starter", AH190=1, "legendary",T190&lt; 13, "weak",T190&lt; 17, "moderate", TRUE, "strong")</f>
        <v>starter</v>
      </c>
      <c r="AK190">
        <v>1</v>
      </c>
      <c r="AL190" s="8">
        <v>0</v>
      </c>
      <c r="AM190" s="8">
        <v>0</v>
      </c>
    </row>
    <row r="191" spans="1:39" x14ac:dyDescent="0.25">
      <c r="A191" s="9">
        <v>67</v>
      </c>
      <c r="B191" s="6" t="s">
        <v>30</v>
      </c>
      <c r="C191" t="s">
        <v>22</v>
      </c>
      <c r="D191"/>
      <c r="E191">
        <v>80</v>
      </c>
      <c r="F191">
        <v>100</v>
      </c>
      <c r="G191">
        <v>70</v>
      </c>
      <c r="H191">
        <v>50</v>
      </c>
      <c r="I191">
        <v>60</v>
      </c>
      <c r="J191">
        <v>45</v>
      </c>
      <c r="K191" t="s">
        <v>259</v>
      </c>
      <c r="L191" s="2" t="s">
        <v>304</v>
      </c>
      <c r="M191" s="2" t="s">
        <v>300</v>
      </c>
      <c r="N191" s="9">
        <f t="shared" si="89"/>
        <v>7.3</v>
      </c>
      <c r="O191" s="9">
        <f t="shared" si="90"/>
        <v>7.1</v>
      </c>
      <c r="P191" s="9">
        <v>0</v>
      </c>
      <c r="Q191" s="9">
        <v>0</v>
      </c>
      <c r="R191" s="12">
        <f t="shared" si="91"/>
        <v>7</v>
      </c>
      <c r="S191" s="12">
        <f t="shared" si="92"/>
        <v>7</v>
      </c>
      <c r="T191" s="12">
        <f t="shared" si="93"/>
        <v>14</v>
      </c>
      <c r="U191" s="1" t="str">
        <f t="shared" si="87"/>
        <v>fighting</v>
      </c>
      <c r="V191" t="s">
        <v>8</v>
      </c>
      <c r="W191" t="s">
        <v>13</v>
      </c>
      <c r="X191" s="1" t="s">
        <v>67</v>
      </c>
      <c r="Y191" s="1" t="str">
        <f>B192</f>
        <v>Machamp</v>
      </c>
      <c r="Z191" s="12">
        <f t="shared" si="88"/>
        <v>6</v>
      </c>
      <c r="AA191" t="str">
        <f t="shared" si="70"/>
        <v>Machoke</v>
      </c>
      <c r="AB191"/>
      <c r="AC191" t="s">
        <v>749</v>
      </c>
      <c r="AD191" s="8" t="str">
        <f>VLOOKUP(AC191,moves!A:B,2,FALSE)</f>
        <v>fighting</v>
      </c>
      <c r="AE191" s="8" t="str">
        <f>VLOOKUP(AC191,moves!A:D,4,FALSE)</f>
        <v>?</v>
      </c>
      <c r="AF191" s="8" t="str">
        <f>VLOOKUP(AC191,moves!A:E,5,FALSE)</f>
        <v>Attack strength is equal to half the current initiative of the target, rounded down. Maximum 6 attack strength.</v>
      </c>
      <c r="AG191" s="6">
        <v>0</v>
      </c>
      <c r="AH191" s="6">
        <v>0</v>
      </c>
      <c r="AI191" s="8" t="str" cm="1">
        <f t="array" ref="AI191">_xlfn.IFS(AG191=1, "starter", AH191=1, "legendary",T191&lt; 13, "weak",T191&lt; 17, "moderate", TRUE, "strong")</f>
        <v>moderate</v>
      </c>
      <c r="AK191">
        <v>2</v>
      </c>
      <c r="AL191" s="8">
        <v>0</v>
      </c>
      <c r="AM191" s="8">
        <v>0</v>
      </c>
    </row>
    <row r="192" spans="1:39" x14ac:dyDescent="0.25">
      <c r="A192" s="9">
        <v>68</v>
      </c>
      <c r="B192" s="6" t="s">
        <v>31</v>
      </c>
      <c r="C192" t="s">
        <v>22</v>
      </c>
      <c r="D192"/>
      <c r="E192">
        <v>90</v>
      </c>
      <c r="F192">
        <v>130</v>
      </c>
      <c r="G192">
        <v>80</v>
      </c>
      <c r="H192">
        <v>65</v>
      </c>
      <c r="I192">
        <v>85</v>
      </c>
      <c r="J192">
        <v>55</v>
      </c>
      <c r="K192" t="s">
        <v>259</v>
      </c>
      <c r="L192" s="2" t="s">
        <v>304</v>
      </c>
      <c r="M192" s="2" t="s">
        <v>300</v>
      </c>
      <c r="N192" s="9">
        <f t="shared" si="89"/>
        <v>9.35</v>
      </c>
      <c r="O192" s="9">
        <f t="shared" si="90"/>
        <v>8.5500000000000007</v>
      </c>
      <c r="P192" s="9">
        <v>0</v>
      </c>
      <c r="Q192" s="9">
        <v>0</v>
      </c>
      <c r="R192" s="12">
        <f t="shared" si="91"/>
        <v>9</v>
      </c>
      <c r="S192" s="12">
        <f t="shared" si="92"/>
        <v>9</v>
      </c>
      <c r="T192" s="12">
        <f t="shared" si="93"/>
        <v>18</v>
      </c>
      <c r="U192" s="1" t="str">
        <f t="shared" si="87"/>
        <v>fighting</v>
      </c>
      <c r="V192" t="s">
        <v>8</v>
      </c>
      <c r="W192" t="s">
        <v>13</v>
      </c>
      <c r="X192" s="1" t="s">
        <v>67</v>
      </c>
      <c r="Z192" s="12" t="str">
        <f>IF(ISBLANK(Y192), "", ROUND(( (T194-6)*(T194-7) - (T192-6)*(T192-7) )/15, 0) + 1)</f>
        <v/>
      </c>
      <c r="AA192" t="str">
        <f t="shared" ref="AA192:AA256" si="149">B192</f>
        <v>Machamp</v>
      </c>
      <c r="AB192"/>
      <c r="AC192" t="s">
        <v>748</v>
      </c>
      <c r="AD192" s="8" t="str">
        <f>VLOOKUP(AC192,moves!A:B,2,FALSE)</f>
        <v>fighting</v>
      </c>
      <c r="AE192" s="8" t="str">
        <f>VLOOKUP(AC192,moves!A:D,4,FALSE)</f>
        <v>?</v>
      </c>
      <c r="AF192" s="8" t="str">
        <f>VLOOKUP(AC192,moves!A:E,5,FALSE)</f>
        <v>Attack strength is equal to half the base health of the target, rounded down. Maximum 6 attack strength.</v>
      </c>
      <c r="AG192" s="6">
        <v>0</v>
      </c>
      <c r="AH192" s="6">
        <v>0</v>
      </c>
      <c r="AI192" s="8" t="str" cm="1">
        <f t="array" ref="AI192">_xlfn.IFS(AG192=1, "starter", AH192=1, "legendary",T192&lt; 13, "weak",T192&lt; 17, "moderate", TRUE, "strong")</f>
        <v>strong</v>
      </c>
      <c r="AK192">
        <v>3</v>
      </c>
      <c r="AL192" s="8">
        <v>0</v>
      </c>
      <c r="AM192" s="8">
        <v>1</v>
      </c>
    </row>
    <row r="193" spans="1:39" s="8" customFormat="1" x14ac:dyDescent="0.25">
      <c r="A193" s="9" t="s">
        <v>1341</v>
      </c>
      <c r="B193" s="11" t="s">
        <v>31</v>
      </c>
      <c r="C193" s="8" t="s">
        <v>22</v>
      </c>
      <c r="E193" s="8">
        <v>90</v>
      </c>
      <c r="F193" s="8">
        <v>130</v>
      </c>
      <c r="G193" s="8">
        <v>80</v>
      </c>
      <c r="H193" s="8">
        <v>65</v>
      </c>
      <c r="I193" s="8">
        <v>85</v>
      </c>
      <c r="J193" s="8">
        <v>55</v>
      </c>
      <c r="K193" s="8" t="s">
        <v>259</v>
      </c>
      <c r="L193" s="10" t="s">
        <v>304</v>
      </c>
      <c r="M193" s="10" t="s">
        <v>300</v>
      </c>
      <c r="N193" s="9">
        <f t="shared" ref="N193" si="150">(0.4*J193 + 0.5*MAX(F193,H193) + 0.1*MIN(F193,H193)) / 10</f>
        <v>9.35</v>
      </c>
      <c r="O193" s="9">
        <f t="shared" ref="O193" si="151">(0.4*E193 + 0.3*G193 + 0.3*I193) / 10</f>
        <v>8.5500000000000007</v>
      </c>
      <c r="P193" s="9">
        <v>1</v>
      </c>
      <c r="Q193" s="9">
        <v>2</v>
      </c>
      <c r="R193" s="12">
        <f t="shared" ref="R193" si="152">ROUND(N193,0)+P193</f>
        <v>10</v>
      </c>
      <c r="S193" s="12">
        <f t="shared" ref="S193" si="153">ROUND(O193,0)+Q193</f>
        <v>11</v>
      </c>
      <c r="T193" s="12">
        <f t="shared" ref="T193" si="154">SUM(ROUND(R193,0),ROUND(S193,0))</f>
        <v>21</v>
      </c>
      <c r="U193" s="9" t="str">
        <f t="shared" ref="U193" si="155">C193</f>
        <v>fighting</v>
      </c>
      <c r="V193" s="8" t="s">
        <v>8</v>
      </c>
      <c r="W193" s="8" t="s">
        <v>13</v>
      </c>
      <c r="X193" s="9" t="s">
        <v>67</v>
      </c>
      <c r="Y193" s="9"/>
      <c r="Z193" s="12" t="str">
        <f>IF(ISBLANK(Y193), "", ROUND(( (T195-6)*(T195-7) - (T193-6)*(T193-7) )/15, 0) + 1)</f>
        <v/>
      </c>
      <c r="AA193" s="8" t="str">
        <f t="shared" ref="AA193" si="156">B193</f>
        <v>Machamp</v>
      </c>
      <c r="AB193" s="8" t="s">
        <v>1338</v>
      </c>
      <c r="AC193" s="8" t="s">
        <v>748</v>
      </c>
      <c r="AD193" s="8" t="str">
        <f>VLOOKUP(AC193,moves!A:B,2,FALSE)</f>
        <v>fighting</v>
      </c>
      <c r="AE193" s="8" t="str">
        <f>VLOOKUP(AC193,moves!A:D,4,FALSE)</f>
        <v>?</v>
      </c>
      <c r="AF193" s="8" t="str">
        <f>VLOOKUP(AC193,moves!A:E,5,FALSE)</f>
        <v>Attack strength is equal to half the base health of the target, rounded down. Maximum 6 attack strength.</v>
      </c>
      <c r="AG193" s="11">
        <v>0</v>
      </c>
      <c r="AH193" s="11">
        <v>1</v>
      </c>
      <c r="AI193" s="8" t="str" cm="1">
        <f t="array" ref="AI193">_xlfn.IFS(AG193=1, "starter", AH193=1, "legendary",T193&lt; 13, "weak",T193&lt; 17, "moderate", TRUE, "strong")</f>
        <v>legendary</v>
      </c>
      <c r="AK193" s="8">
        <v>3</v>
      </c>
      <c r="AL193" s="8">
        <v>0</v>
      </c>
      <c r="AM193" s="8">
        <v>2</v>
      </c>
    </row>
    <row r="194" spans="1:39" x14ac:dyDescent="0.25">
      <c r="A194" s="9">
        <v>77</v>
      </c>
      <c r="B194" s="6" t="s">
        <v>36</v>
      </c>
      <c r="C194" t="s">
        <v>4</v>
      </c>
      <c r="D194"/>
      <c r="E194">
        <v>50</v>
      </c>
      <c r="F194">
        <v>85</v>
      </c>
      <c r="G194">
        <v>55</v>
      </c>
      <c r="H194">
        <v>65</v>
      </c>
      <c r="I194">
        <v>65</v>
      </c>
      <c r="J194">
        <v>90</v>
      </c>
      <c r="K194" t="s">
        <v>262</v>
      </c>
      <c r="L194" s="2" t="s">
        <v>301</v>
      </c>
      <c r="M194" s="2" t="s">
        <v>302</v>
      </c>
      <c r="N194" s="9">
        <f t="shared" si="89"/>
        <v>8.5</v>
      </c>
      <c r="O194" s="9">
        <f t="shared" si="90"/>
        <v>5.6</v>
      </c>
      <c r="P194" s="9">
        <v>0</v>
      </c>
      <c r="Q194" s="9">
        <v>0</v>
      </c>
      <c r="R194" s="12">
        <f t="shared" si="91"/>
        <v>9</v>
      </c>
      <c r="S194" s="12">
        <f t="shared" si="92"/>
        <v>6</v>
      </c>
      <c r="T194" s="12">
        <f t="shared" si="93"/>
        <v>15</v>
      </c>
      <c r="U194" s="1" t="str">
        <f t="shared" si="87"/>
        <v>fire</v>
      </c>
      <c r="V194" t="s">
        <v>8</v>
      </c>
      <c r="W194" t="s">
        <v>13</v>
      </c>
      <c r="X194" s="1" t="s">
        <v>11</v>
      </c>
      <c r="Y194" s="1" t="str">
        <f>B195</f>
        <v>Rapidash</v>
      </c>
      <c r="Z194" s="12">
        <f t="shared" si="88"/>
        <v>4</v>
      </c>
      <c r="AA194" t="str">
        <f t="shared" si="149"/>
        <v>Ponyta</v>
      </c>
      <c r="AB194"/>
      <c r="AC194" t="s">
        <v>514</v>
      </c>
      <c r="AD194" s="8" t="str">
        <f>VLOOKUP(AC194,moves!A:B,2,FALSE)</f>
        <v>normal</v>
      </c>
      <c r="AE194" s="8">
        <f>VLOOKUP(AC194,moves!A:D,4,FALSE)</f>
        <v>4</v>
      </c>
      <c r="AF194" s="8" t="str">
        <f>VLOOKUP(AC194,moves!A:E,5,FALSE)</f>
        <v>Critical hits deal +2 damage but for each critical hit rolled: The user takes 1 damage.</v>
      </c>
      <c r="AG194" s="6">
        <v>0</v>
      </c>
      <c r="AH194" s="6">
        <v>0</v>
      </c>
      <c r="AI194" s="8" t="str" cm="1">
        <f t="array" ref="AI194">_xlfn.IFS(AG194=1, "starter", AH194=1, "legendary",T194&lt; 13, "weak",T194&lt; 17, "moderate", TRUE, "strong")</f>
        <v>moderate</v>
      </c>
      <c r="AK194">
        <v>1</v>
      </c>
      <c r="AL194" s="8">
        <v>0</v>
      </c>
      <c r="AM194" s="8">
        <v>0</v>
      </c>
    </row>
    <row r="195" spans="1:39" x14ac:dyDescent="0.25">
      <c r="A195" s="9">
        <v>78</v>
      </c>
      <c r="B195" s="6" t="s">
        <v>37</v>
      </c>
      <c r="C195" t="s">
        <v>4</v>
      </c>
      <c r="D195"/>
      <c r="E195">
        <v>65</v>
      </c>
      <c r="F195">
        <v>100</v>
      </c>
      <c r="G195">
        <v>70</v>
      </c>
      <c r="H195">
        <v>80</v>
      </c>
      <c r="I195">
        <v>80</v>
      </c>
      <c r="J195">
        <v>105</v>
      </c>
      <c r="K195" t="s">
        <v>262</v>
      </c>
      <c r="L195" s="2" t="s">
        <v>301</v>
      </c>
      <c r="M195" s="2" t="s">
        <v>302</v>
      </c>
      <c r="N195" s="9">
        <f t="shared" si="89"/>
        <v>10</v>
      </c>
      <c r="O195" s="9">
        <f t="shared" si="90"/>
        <v>7.1</v>
      </c>
      <c r="P195" s="9">
        <v>0</v>
      </c>
      <c r="Q195" s="9">
        <v>0</v>
      </c>
      <c r="R195" s="12">
        <f t="shared" si="91"/>
        <v>10</v>
      </c>
      <c r="S195" s="12">
        <f t="shared" si="92"/>
        <v>7</v>
      </c>
      <c r="T195" s="12">
        <f t="shared" si="93"/>
        <v>17</v>
      </c>
      <c r="U195" s="1" t="str">
        <f t="shared" si="87"/>
        <v>fire</v>
      </c>
      <c r="V195" t="s">
        <v>8</v>
      </c>
      <c r="W195" t="s">
        <v>13</v>
      </c>
      <c r="X195" s="1" t="s">
        <v>11</v>
      </c>
      <c r="Z195" s="12" t="str">
        <f t="shared" si="88"/>
        <v/>
      </c>
      <c r="AA195" t="str">
        <f t="shared" si="149"/>
        <v>Rapidash</v>
      </c>
      <c r="AB195"/>
      <c r="AC195" t="s">
        <v>710</v>
      </c>
      <c r="AD195" s="8" t="str">
        <f>VLOOKUP(AC195,moves!A:B,2,FALSE)</f>
        <v>fire</v>
      </c>
      <c r="AE195" s="8">
        <f>VLOOKUP(AC195,moves!A:D,4,FALSE)</f>
        <v>5</v>
      </c>
      <c r="AF195" s="8" t="str">
        <f>VLOOKUP(AC195,moves!A:E,5,FALSE)</f>
        <v>Critical hits deal +2 damage but for each critical hit rolled: The user takes 2 damage.</v>
      </c>
      <c r="AG195" s="6">
        <v>0</v>
      </c>
      <c r="AH195" s="6">
        <v>0</v>
      </c>
      <c r="AI195" s="8" t="str" cm="1">
        <f t="array" ref="AI195">_xlfn.IFS(AG195=1, "starter", AH195=1, "legendary",T195&lt; 13, "weak",T195&lt; 17, "moderate", TRUE, "strong")</f>
        <v>strong</v>
      </c>
      <c r="AK195">
        <v>2</v>
      </c>
      <c r="AL195" s="8">
        <v>0</v>
      </c>
      <c r="AM195" s="8">
        <v>0</v>
      </c>
    </row>
    <row r="196" spans="1:39" x14ac:dyDescent="0.25">
      <c r="A196" s="9">
        <v>214</v>
      </c>
      <c r="B196" s="6" t="s">
        <v>89</v>
      </c>
      <c r="C196" t="s">
        <v>7</v>
      </c>
      <c r="D196" t="s">
        <v>22</v>
      </c>
      <c r="E196">
        <v>80</v>
      </c>
      <c r="F196">
        <v>125</v>
      </c>
      <c r="G196">
        <v>75</v>
      </c>
      <c r="H196">
        <v>40</v>
      </c>
      <c r="I196">
        <v>95</v>
      </c>
      <c r="J196">
        <v>85</v>
      </c>
      <c r="K196" t="s">
        <v>279</v>
      </c>
      <c r="L196" s="2" t="s">
        <v>298</v>
      </c>
      <c r="M196" s="2" t="s">
        <v>300</v>
      </c>
      <c r="N196" s="9">
        <f t="shared" si="89"/>
        <v>10.050000000000001</v>
      </c>
      <c r="O196" s="9">
        <f t="shared" si="90"/>
        <v>8.3000000000000007</v>
      </c>
      <c r="P196" s="9">
        <v>0</v>
      </c>
      <c r="Q196" s="9">
        <v>0</v>
      </c>
      <c r="R196" s="12">
        <f t="shared" si="91"/>
        <v>10</v>
      </c>
      <c r="S196" s="12">
        <f t="shared" si="92"/>
        <v>8</v>
      </c>
      <c r="T196" s="12">
        <f t="shared" si="93"/>
        <v>18</v>
      </c>
      <c r="U196" s="1" t="str">
        <f t="shared" si="87"/>
        <v>bug</v>
      </c>
      <c r="V196" s="1" t="str">
        <f t="shared" ref="V196:V202" si="157">D196</f>
        <v>fighting</v>
      </c>
      <c r="W196" t="s">
        <v>5</v>
      </c>
      <c r="X196" t="s">
        <v>8</v>
      </c>
      <c r="Y196"/>
      <c r="Z196" s="12" t="str">
        <f t="shared" si="88"/>
        <v/>
      </c>
      <c r="AA196" t="str">
        <f t="shared" si="149"/>
        <v>Heracross</v>
      </c>
      <c r="AB196"/>
      <c r="AC196" t="s">
        <v>500</v>
      </c>
      <c r="AD196" s="8" t="str">
        <f>VLOOKUP(AC196,moves!A:B,2,FALSE)</f>
        <v>bug</v>
      </c>
      <c r="AE196" s="8">
        <f>VLOOKUP(AC196,moves!A:D,4,FALSE)</f>
        <v>5</v>
      </c>
      <c r="AF196" s="8" t="str">
        <f>VLOOKUP(AC196,moves!A:E,5,FALSE)</f>
        <v>Critical hits deal +1 damage but status symbols deal -1 damage.</v>
      </c>
      <c r="AG196" s="6">
        <v>0</v>
      </c>
      <c r="AH196" s="6">
        <v>0</v>
      </c>
      <c r="AI196" s="8" t="str" cm="1">
        <f t="array" ref="AI196">_xlfn.IFS(AG196=1, "starter", AH196=1, "legendary",T196&lt; 13, "weak",T196&lt; 17, "moderate", TRUE, "strong")</f>
        <v>strong</v>
      </c>
      <c r="AK196">
        <v>1</v>
      </c>
      <c r="AL196" s="8">
        <v>0</v>
      </c>
      <c r="AM196" s="8">
        <v>0</v>
      </c>
    </row>
    <row r="197" spans="1:39" x14ac:dyDescent="0.25">
      <c r="A197" s="9">
        <v>144</v>
      </c>
      <c r="B197" s="6" t="s">
        <v>63</v>
      </c>
      <c r="C197" t="s">
        <v>14</v>
      </c>
      <c r="D197" t="s">
        <v>5</v>
      </c>
      <c r="E197">
        <v>90</v>
      </c>
      <c r="F197">
        <v>85</v>
      </c>
      <c r="G197">
        <v>100</v>
      </c>
      <c r="H197">
        <v>95</v>
      </c>
      <c r="I197">
        <v>125</v>
      </c>
      <c r="J197">
        <v>85</v>
      </c>
      <c r="K197" t="s">
        <v>271</v>
      </c>
      <c r="L197" s="2" t="s">
        <v>304</v>
      </c>
      <c r="M197" t="s">
        <v>299</v>
      </c>
      <c r="N197" s="9">
        <f t="shared" si="89"/>
        <v>9</v>
      </c>
      <c r="O197" s="9">
        <f t="shared" si="90"/>
        <v>10.35</v>
      </c>
      <c r="P197" s="9">
        <v>2</v>
      </c>
      <c r="Q197" s="9">
        <v>-1</v>
      </c>
      <c r="R197" s="12">
        <f t="shared" si="91"/>
        <v>11</v>
      </c>
      <c r="S197" s="12">
        <f t="shared" si="92"/>
        <v>9</v>
      </c>
      <c r="T197" s="12">
        <f t="shared" si="93"/>
        <v>20</v>
      </c>
      <c r="U197" s="1" t="str">
        <f t="shared" si="87"/>
        <v>ice</v>
      </c>
      <c r="V197" s="1" t="str">
        <f t="shared" si="157"/>
        <v>flying</v>
      </c>
      <c r="W197" t="s">
        <v>8</v>
      </c>
      <c r="X197" t="s">
        <v>26</v>
      </c>
      <c r="Y197"/>
      <c r="Z197" s="12" t="str">
        <f t="shared" si="88"/>
        <v/>
      </c>
      <c r="AA197" t="str">
        <f t="shared" si="149"/>
        <v>Articuno</v>
      </c>
      <c r="AB197"/>
      <c r="AC197" t="s">
        <v>491</v>
      </c>
      <c r="AD197" s="8" t="str">
        <f>VLOOKUP(AC197,moves!A:B,2,FALSE)</f>
        <v>ice</v>
      </c>
      <c r="AE197" s="8">
        <f>VLOOKUP(AC197,moves!A:D,4,FALSE)</f>
        <v>5</v>
      </c>
      <c r="AF197" s="8" t="str">
        <f>VLOOKUP(AC197,moves!A:E,5,FALSE)</f>
        <v>If 2+ status symbols are rolled: Inflict the Frozen status on the target.</v>
      </c>
      <c r="AG197" s="6">
        <v>0</v>
      </c>
      <c r="AH197" s="6">
        <v>1</v>
      </c>
      <c r="AI197" s="8" t="str" cm="1">
        <f t="array" ref="AI197">_xlfn.IFS(AG197=1, "starter", AH197=1, "legendary",T197&lt; 13, "weak",T197&lt; 17, "moderate", TRUE, "strong")</f>
        <v>legendary</v>
      </c>
      <c r="AK197">
        <v>1</v>
      </c>
      <c r="AL197" s="8">
        <v>0</v>
      </c>
      <c r="AM197" s="8">
        <v>0</v>
      </c>
    </row>
    <row r="198" spans="1:39" x14ac:dyDescent="0.25">
      <c r="A198" s="9">
        <v>145</v>
      </c>
      <c r="B198" s="6" t="s">
        <v>64</v>
      </c>
      <c r="C198" t="s">
        <v>11</v>
      </c>
      <c r="D198" t="s">
        <v>5</v>
      </c>
      <c r="E198">
        <v>90</v>
      </c>
      <c r="F198">
        <v>90</v>
      </c>
      <c r="G198">
        <v>85</v>
      </c>
      <c r="H198">
        <v>125</v>
      </c>
      <c r="I198">
        <v>90</v>
      </c>
      <c r="J198">
        <v>100</v>
      </c>
      <c r="K198" t="s">
        <v>269</v>
      </c>
      <c r="L198" s="2" t="s">
        <v>304</v>
      </c>
      <c r="M198" t="s">
        <v>300</v>
      </c>
      <c r="N198" s="9">
        <f t="shared" si="89"/>
        <v>11.15</v>
      </c>
      <c r="O198" s="9">
        <f t="shared" si="90"/>
        <v>8.85</v>
      </c>
      <c r="P198" s="9">
        <v>0</v>
      </c>
      <c r="Q198" s="9">
        <v>0</v>
      </c>
      <c r="R198" s="12">
        <f t="shared" si="91"/>
        <v>11</v>
      </c>
      <c r="S198" s="12">
        <f t="shared" si="92"/>
        <v>9</v>
      </c>
      <c r="T198" s="12">
        <f t="shared" si="93"/>
        <v>20</v>
      </c>
      <c r="U198" s="1" t="str">
        <f t="shared" si="87"/>
        <v>electric</v>
      </c>
      <c r="V198" s="1" t="str">
        <f t="shared" si="157"/>
        <v>flying</v>
      </c>
      <c r="W198" t="s">
        <v>8</v>
      </c>
      <c r="X198" t="s">
        <v>22</v>
      </c>
      <c r="Y198"/>
      <c r="Z198" s="12" t="str">
        <f t="shared" si="88"/>
        <v/>
      </c>
      <c r="AA198" t="str">
        <f t="shared" si="149"/>
        <v>Zapdos</v>
      </c>
      <c r="AB198"/>
      <c r="AC198" t="s">
        <v>489</v>
      </c>
      <c r="AD198" s="8" t="str">
        <f>VLOOKUP(AC198,moves!A:B,2,FALSE)</f>
        <v>electric</v>
      </c>
      <c r="AE198" s="8">
        <f>VLOOKUP(AC198,moves!A:D,4,FALSE)</f>
        <v>5</v>
      </c>
      <c r="AF198" s="8" t="str">
        <f>VLOOKUP(AC198,moves!A:E,5,FALSE)</f>
        <v>If 2+ status symbols are rolled: Inflict the Paralysed status on the target.</v>
      </c>
      <c r="AG198" s="6">
        <v>0</v>
      </c>
      <c r="AH198" s="6">
        <v>1</v>
      </c>
      <c r="AI198" s="8" t="str" cm="1">
        <f t="array" ref="AI198">_xlfn.IFS(AG198=1, "starter", AH198=1, "legendary",T198&lt; 13, "weak",T198&lt; 17, "moderate", TRUE, "strong")</f>
        <v>legendary</v>
      </c>
      <c r="AK198">
        <v>1</v>
      </c>
      <c r="AL198" s="8">
        <v>0</v>
      </c>
      <c r="AM198" s="8">
        <v>0</v>
      </c>
    </row>
    <row r="199" spans="1:39" x14ac:dyDescent="0.25">
      <c r="A199" s="9">
        <v>146</v>
      </c>
      <c r="B199" s="6" t="s">
        <v>65</v>
      </c>
      <c r="C199" t="s">
        <v>4</v>
      </c>
      <c r="D199" t="s">
        <v>5</v>
      </c>
      <c r="E199">
        <v>90</v>
      </c>
      <c r="F199">
        <v>100</v>
      </c>
      <c r="G199">
        <v>90</v>
      </c>
      <c r="H199">
        <v>125</v>
      </c>
      <c r="I199">
        <v>85</v>
      </c>
      <c r="J199">
        <v>90</v>
      </c>
      <c r="K199" t="s">
        <v>247</v>
      </c>
      <c r="L199" s="2" t="s">
        <v>304</v>
      </c>
      <c r="M199" t="s">
        <v>302</v>
      </c>
      <c r="N199" s="9">
        <f t="shared" si="89"/>
        <v>10.85</v>
      </c>
      <c r="O199" s="9">
        <f t="shared" si="90"/>
        <v>8.85</v>
      </c>
      <c r="P199" s="9">
        <v>0</v>
      </c>
      <c r="Q199" s="9">
        <v>0</v>
      </c>
      <c r="R199" s="12">
        <f t="shared" si="91"/>
        <v>11</v>
      </c>
      <c r="S199" s="12">
        <f t="shared" si="92"/>
        <v>9</v>
      </c>
      <c r="T199" s="12">
        <f t="shared" si="93"/>
        <v>20</v>
      </c>
      <c r="U199" s="1" t="str">
        <f t="shared" si="87"/>
        <v>fire</v>
      </c>
      <c r="V199" s="1" t="str">
        <f t="shared" si="157"/>
        <v>flying</v>
      </c>
      <c r="W199" t="s">
        <v>8</v>
      </c>
      <c r="X199" t="s">
        <v>9</v>
      </c>
      <c r="Y199"/>
      <c r="Z199" s="12" t="str">
        <f t="shared" si="88"/>
        <v/>
      </c>
      <c r="AA199" t="str">
        <f t="shared" si="149"/>
        <v>Moltres</v>
      </c>
      <c r="AB199"/>
      <c r="AC199" t="s">
        <v>481</v>
      </c>
      <c r="AD199" s="8" t="str">
        <f>VLOOKUP(AC199,moves!A:B,2,FALSE)</f>
        <v>fire</v>
      </c>
      <c r="AE199" s="8">
        <f>VLOOKUP(AC199,moves!A:D,4,FALSE)</f>
        <v>5</v>
      </c>
      <c r="AF199" s="8" t="str">
        <f>VLOOKUP(AC199,moves!A:E,5,FALSE)</f>
        <v>If 2+ status symbols are rolled: Inflict the Burned status on the target.</v>
      </c>
      <c r="AG199" s="6">
        <v>0</v>
      </c>
      <c r="AH199" s="6">
        <v>1</v>
      </c>
      <c r="AI199" s="8" t="str" cm="1">
        <f t="array" ref="AI199">_xlfn.IFS(AG199=1, "starter", AH199=1, "legendary",T199&lt; 13, "weak",T199&lt; 17, "moderate", TRUE, "strong")</f>
        <v>legendary</v>
      </c>
      <c r="AK199">
        <v>1</v>
      </c>
      <c r="AL199" s="8">
        <v>0</v>
      </c>
      <c r="AM199" s="8">
        <v>0</v>
      </c>
    </row>
    <row r="200" spans="1:39" x14ac:dyDescent="0.25">
      <c r="A200" s="9">
        <v>246</v>
      </c>
      <c r="B200" t="s">
        <v>107</v>
      </c>
      <c r="C200" t="s">
        <v>33</v>
      </c>
      <c r="D200" t="s">
        <v>13</v>
      </c>
      <c r="E200">
        <v>50</v>
      </c>
      <c r="F200">
        <v>64</v>
      </c>
      <c r="G200">
        <v>50</v>
      </c>
      <c r="H200">
        <v>45</v>
      </c>
      <c r="I200">
        <v>50</v>
      </c>
      <c r="J200">
        <v>41</v>
      </c>
      <c r="K200" t="s">
        <v>288</v>
      </c>
      <c r="L200" s="2" t="s">
        <v>304</v>
      </c>
      <c r="M200" t="s">
        <v>302</v>
      </c>
      <c r="N200" s="9">
        <f t="shared" si="89"/>
        <v>5.2900000000000009</v>
      </c>
      <c r="O200" s="9">
        <f t="shared" si="90"/>
        <v>5</v>
      </c>
      <c r="P200" s="9">
        <v>0</v>
      </c>
      <c r="Q200" s="9">
        <v>0</v>
      </c>
      <c r="R200" s="12">
        <f t="shared" si="91"/>
        <v>5</v>
      </c>
      <c r="S200" s="12">
        <f t="shared" si="92"/>
        <v>5</v>
      </c>
      <c r="T200" s="12">
        <f t="shared" si="93"/>
        <v>10</v>
      </c>
      <c r="U200" s="1" t="str">
        <f t="shared" si="87"/>
        <v>rock</v>
      </c>
      <c r="V200" s="1" t="str">
        <f t="shared" si="157"/>
        <v>ground</v>
      </c>
      <c r="W200" t="s">
        <v>9</v>
      </c>
      <c r="X200" t="s">
        <v>4</v>
      </c>
      <c r="Y200" s="1" t="str">
        <f>B201</f>
        <v>Pupitar</v>
      </c>
      <c r="Z200" s="12">
        <f t="shared" si="88"/>
        <v>4</v>
      </c>
      <c r="AA200" t="str">
        <f t="shared" si="149"/>
        <v>Larvitar</v>
      </c>
      <c r="AB200"/>
      <c r="AC200" t="s">
        <v>528</v>
      </c>
      <c r="AD200" s="8" t="str">
        <f>VLOOKUP(AC200,moves!A:B,2,FALSE)</f>
        <v>ground</v>
      </c>
      <c r="AE200" s="8">
        <f>VLOOKUP(AC200,moves!A:D,4,FALSE)</f>
        <v>2</v>
      </c>
      <c r="AF200" s="8" t="str">
        <f>VLOOKUP(AC200,moves!A:E,5,FALSE)</f>
        <v>The target may no longer switch out or flee the battle.</v>
      </c>
      <c r="AG200" s="6">
        <v>0</v>
      </c>
      <c r="AH200" s="6">
        <v>0</v>
      </c>
      <c r="AI200" s="8" t="str" cm="1">
        <f t="array" ref="AI200">_xlfn.IFS(AG200=1, "starter", AH200=1, "legendary",T200&lt; 13, "weak",T200&lt; 17, "moderate", TRUE, "strong")</f>
        <v>weak</v>
      </c>
      <c r="AK200">
        <v>1</v>
      </c>
      <c r="AL200" s="8">
        <v>0</v>
      </c>
      <c r="AM200" s="8">
        <v>0</v>
      </c>
    </row>
    <row r="201" spans="1:39" x14ac:dyDescent="0.25">
      <c r="A201" s="9">
        <v>247</v>
      </c>
      <c r="B201" t="s">
        <v>108</v>
      </c>
      <c r="C201" t="s">
        <v>33</v>
      </c>
      <c r="D201" t="s">
        <v>13</v>
      </c>
      <c r="E201">
        <v>70</v>
      </c>
      <c r="F201">
        <v>84</v>
      </c>
      <c r="G201">
        <v>70</v>
      </c>
      <c r="H201">
        <v>65</v>
      </c>
      <c r="I201">
        <v>70</v>
      </c>
      <c r="J201">
        <v>51</v>
      </c>
      <c r="K201" t="s">
        <v>289</v>
      </c>
      <c r="L201" s="2" t="s">
        <v>304</v>
      </c>
      <c r="M201" t="s">
        <v>302</v>
      </c>
      <c r="N201" s="9">
        <f t="shared" si="89"/>
        <v>6.8900000000000006</v>
      </c>
      <c r="O201" s="9">
        <f t="shared" si="90"/>
        <v>7</v>
      </c>
      <c r="P201" s="9">
        <v>0</v>
      </c>
      <c r="Q201" s="9">
        <v>0</v>
      </c>
      <c r="R201" s="12">
        <f t="shared" si="91"/>
        <v>7</v>
      </c>
      <c r="S201" s="12">
        <f t="shared" si="92"/>
        <v>7</v>
      </c>
      <c r="T201" s="12">
        <f t="shared" si="93"/>
        <v>14</v>
      </c>
      <c r="U201" s="1" t="str">
        <f t="shared" si="87"/>
        <v>rock</v>
      </c>
      <c r="V201" s="1" t="str">
        <f t="shared" si="157"/>
        <v>ground</v>
      </c>
      <c r="W201" t="s">
        <v>9</v>
      </c>
      <c r="X201" t="s">
        <v>4</v>
      </c>
      <c r="Y201" s="1" t="str">
        <f>B202</f>
        <v>Tyranitar</v>
      </c>
      <c r="Z201" s="12">
        <f t="shared" si="88"/>
        <v>11</v>
      </c>
      <c r="AA201" t="str">
        <f t="shared" si="149"/>
        <v>Pupitar</v>
      </c>
      <c r="AB201"/>
      <c r="AC201" t="s">
        <v>530</v>
      </c>
      <c r="AD201" s="8" t="str">
        <f>VLOOKUP(AC201,moves!A:B,2,FALSE)</f>
        <v>dark</v>
      </c>
      <c r="AE201" s="8">
        <f>VLOOKUP(AC201,moves!A:D,4,FALSE)</f>
        <v>3</v>
      </c>
      <c r="AF201" s="8" t="str">
        <f>VLOOKUP(AC201,moves!A:E,5,FALSE)</f>
        <v>When the target is next attacked, add a regular hit to the roll.</v>
      </c>
      <c r="AG201" s="6">
        <v>0</v>
      </c>
      <c r="AH201" s="6">
        <v>0</v>
      </c>
      <c r="AI201" s="8" t="str" cm="1">
        <f t="array" ref="AI201">_xlfn.IFS(AG201=1, "starter", AH201=1, "legendary",T201&lt; 13, "weak",T201&lt; 17, "moderate", TRUE, "strong")</f>
        <v>moderate</v>
      </c>
      <c r="AK201">
        <v>2</v>
      </c>
      <c r="AL201" s="8">
        <v>0</v>
      </c>
      <c r="AM201" s="8">
        <v>0</v>
      </c>
    </row>
    <row r="202" spans="1:39" x14ac:dyDescent="0.25">
      <c r="A202" s="9">
        <v>248</v>
      </c>
      <c r="B202" t="s">
        <v>109</v>
      </c>
      <c r="C202" t="s">
        <v>33</v>
      </c>
      <c r="D202" t="s">
        <v>9</v>
      </c>
      <c r="E202">
        <v>100</v>
      </c>
      <c r="F202">
        <v>134</v>
      </c>
      <c r="G202">
        <v>110</v>
      </c>
      <c r="H202">
        <v>95</v>
      </c>
      <c r="I202">
        <v>100</v>
      </c>
      <c r="J202">
        <v>61</v>
      </c>
      <c r="K202" t="s">
        <v>284</v>
      </c>
      <c r="L202" s="2" t="s">
        <v>304</v>
      </c>
      <c r="M202" t="s">
        <v>302</v>
      </c>
      <c r="N202" s="9">
        <f t="shared" si="89"/>
        <v>10.09</v>
      </c>
      <c r="O202" s="9">
        <f t="shared" si="90"/>
        <v>10.3</v>
      </c>
      <c r="P202" s="9">
        <v>0</v>
      </c>
      <c r="Q202" s="9">
        <v>1</v>
      </c>
      <c r="R202" s="12">
        <f t="shared" si="91"/>
        <v>10</v>
      </c>
      <c r="S202" s="12">
        <f t="shared" si="92"/>
        <v>11</v>
      </c>
      <c r="T202" s="12">
        <f t="shared" si="93"/>
        <v>21</v>
      </c>
      <c r="U202" s="1" t="str">
        <f t="shared" si="87"/>
        <v>rock</v>
      </c>
      <c r="V202" s="1" t="str">
        <f t="shared" si="157"/>
        <v>dark</v>
      </c>
      <c r="W202" t="s">
        <v>13</v>
      </c>
      <c r="X202" t="s">
        <v>4</v>
      </c>
      <c r="Z202" s="12" t="str">
        <f t="shared" si="88"/>
        <v/>
      </c>
      <c r="AA202" t="str">
        <f t="shared" si="149"/>
        <v>Tyranitar</v>
      </c>
      <c r="AB202"/>
      <c r="AC202" t="s">
        <v>501</v>
      </c>
      <c r="AD202" s="8" t="str">
        <f>VLOOKUP(AC202,moves!A:B,2,FALSE)</f>
        <v>rock</v>
      </c>
      <c r="AE202" s="8">
        <f>VLOOKUP(AC202,moves!A:D,4,FALSE)</f>
        <v>5</v>
      </c>
      <c r="AF202" s="8" t="str">
        <f>VLOOKUP(AC202,moves!A:E,5,FALSE)</f>
        <v>Critical hits deal +1 damage but status symbols deal -1 damage.</v>
      </c>
      <c r="AG202" s="6">
        <v>0</v>
      </c>
      <c r="AH202" s="6">
        <v>0</v>
      </c>
      <c r="AI202" s="8" t="str" cm="1">
        <f t="array" ref="AI202">_xlfn.IFS(AG202=1, "starter", AH202=1, "legendary",T202&lt; 13, "weak",T202&lt; 17, "moderate", TRUE, "strong")</f>
        <v>strong</v>
      </c>
      <c r="AK202">
        <v>3</v>
      </c>
      <c r="AL202" s="8">
        <v>0</v>
      </c>
      <c r="AM202" s="8">
        <v>0</v>
      </c>
    </row>
    <row r="203" spans="1:39" x14ac:dyDescent="0.25">
      <c r="A203" s="9">
        <v>201</v>
      </c>
      <c r="B203" t="s">
        <v>86</v>
      </c>
      <c r="C203" t="s">
        <v>26</v>
      </c>
      <c r="D203"/>
      <c r="E203">
        <v>48</v>
      </c>
      <c r="F203">
        <v>72</v>
      </c>
      <c r="G203">
        <v>48</v>
      </c>
      <c r="H203">
        <v>72</v>
      </c>
      <c r="I203">
        <v>48</v>
      </c>
      <c r="J203">
        <v>48</v>
      </c>
      <c r="K203" t="s">
        <v>277</v>
      </c>
      <c r="L203" s="2" t="s">
        <v>304</v>
      </c>
      <c r="M203" s="2" t="s">
        <v>300</v>
      </c>
      <c r="N203" s="9">
        <f t="shared" si="89"/>
        <v>6.24</v>
      </c>
      <c r="O203" s="9">
        <f t="shared" si="90"/>
        <v>4.8</v>
      </c>
      <c r="P203" s="9">
        <v>0</v>
      </c>
      <c r="Q203" s="9">
        <v>0</v>
      </c>
      <c r="R203" s="12">
        <f t="shared" si="91"/>
        <v>6</v>
      </c>
      <c r="S203" s="12">
        <f t="shared" si="92"/>
        <v>5</v>
      </c>
      <c r="T203" s="12">
        <f t="shared" si="93"/>
        <v>11</v>
      </c>
      <c r="U203" s="1" t="str">
        <f t="shared" si="87"/>
        <v>psychic</v>
      </c>
      <c r="V203" s="1" t="s">
        <v>11</v>
      </c>
      <c r="W203" s="1" t="s">
        <v>4</v>
      </c>
      <c r="X203" s="1" t="s">
        <v>14</v>
      </c>
      <c r="Y203"/>
      <c r="Z203" s="12" t="str">
        <f t="shared" si="88"/>
        <v/>
      </c>
      <c r="AA203" t="str">
        <f t="shared" si="149"/>
        <v>Unown</v>
      </c>
      <c r="AB203"/>
      <c r="AC203" t="s">
        <v>542</v>
      </c>
      <c r="AD203" s="8" t="str">
        <f>VLOOKUP(AC203,moves!A:B,2,FALSE)</f>
        <v>typeless</v>
      </c>
      <c r="AE203" s="8">
        <f>VLOOKUP(AC203,moves!A:D,4,FALSE)</f>
        <v>3</v>
      </c>
      <c r="AF203" s="8" t="str">
        <f>VLOOKUP(AC203,moves!A:E,5,FALSE)</f>
        <v>Choose any learnable type of the user as the type of this attack.</v>
      </c>
      <c r="AG203" s="6">
        <v>0</v>
      </c>
      <c r="AH203" s="6">
        <v>0</v>
      </c>
      <c r="AI203" s="8" t="str" cm="1">
        <f t="array" ref="AI203">_xlfn.IFS(AG203=1, "starter", AH203=1, "legendary",T203&lt; 13, "weak",T203&lt; 17, "moderate", TRUE, "strong")</f>
        <v>weak</v>
      </c>
      <c r="AK203">
        <v>1</v>
      </c>
      <c r="AL203" s="8">
        <v>0</v>
      </c>
      <c r="AM203" s="8">
        <v>0</v>
      </c>
    </row>
    <row r="204" spans="1:39" x14ac:dyDescent="0.25">
      <c r="A204" s="9">
        <v>92</v>
      </c>
      <c r="B204" t="s">
        <v>41</v>
      </c>
      <c r="C204" t="s">
        <v>42</v>
      </c>
      <c r="D204" t="s">
        <v>3</v>
      </c>
      <c r="E204">
        <v>30</v>
      </c>
      <c r="F204">
        <v>35</v>
      </c>
      <c r="G204">
        <v>30</v>
      </c>
      <c r="H204">
        <v>100</v>
      </c>
      <c r="I204">
        <v>35</v>
      </c>
      <c r="J204">
        <v>80</v>
      </c>
      <c r="K204" t="s">
        <v>263</v>
      </c>
      <c r="L204" s="2" t="s">
        <v>298</v>
      </c>
      <c r="M204" s="2" t="s">
        <v>299</v>
      </c>
      <c r="N204" s="9">
        <f t="shared" si="89"/>
        <v>8.5500000000000007</v>
      </c>
      <c r="O204" s="9">
        <f t="shared" si="90"/>
        <v>3.15</v>
      </c>
      <c r="P204" s="9">
        <v>0</v>
      </c>
      <c r="Q204" s="9">
        <v>0</v>
      </c>
      <c r="R204" s="12">
        <f t="shared" si="91"/>
        <v>9</v>
      </c>
      <c r="S204" s="12">
        <f t="shared" si="92"/>
        <v>3</v>
      </c>
      <c r="T204" s="12">
        <f t="shared" si="93"/>
        <v>12</v>
      </c>
      <c r="U204" s="1" t="str">
        <f t="shared" si="87"/>
        <v>ghost</v>
      </c>
      <c r="V204" s="1" t="str">
        <f>IF(D204 = 0, "", D204)</f>
        <v>poison</v>
      </c>
      <c r="W204" s="1" t="s">
        <v>26</v>
      </c>
      <c r="X204" s="1" t="s">
        <v>9</v>
      </c>
      <c r="Y204" s="1" t="str">
        <f>B205</f>
        <v>Haunter</v>
      </c>
      <c r="Z204" s="12">
        <f t="shared" si="88"/>
        <v>4</v>
      </c>
      <c r="AA204" t="str">
        <f t="shared" si="149"/>
        <v>Gastly</v>
      </c>
      <c r="AB204"/>
      <c r="AC204" t="s">
        <v>1144</v>
      </c>
      <c r="AD204" s="8" t="str">
        <f>VLOOKUP(AC204,moves!A:B,2,FALSE)</f>
        <v>ghost</v>
      </c>
      <c r="AE204" s="8">
        <f>VLOOKUP(AC204,moves!A:D,4,FALSE)</f>
        <v>2</v>
      </c>
      <c r="AF204" s="8" t="str">
        <f>VLOOKUP(AC204,moves!A:E,5,FALSE)</f>
        <v>Inflict the Paralysed status on the target.</v>
      </c>
      <c r="AG204" s="6">
        <v>0</v>
      </c>
      <c r="AH204" s="6">
        <v>0</v>
      </c>
      <c r="AI204" s="8" t="str" cm="1">
        <f t="array" ref="AI204">_xlfn.IFS(AG204=1, "starter", AH204=1, "legendary",T204&lt; 13, "weak",T204&lt; 17, "moderate", TRUE, "strong")</f>
        <v>weak</v>
      </c>
      <c r="AK204">
        <v>1</v>
      </c>
      <c r="AL204" s="8">
        <v>0</v>
      </c>
      <c r="AM204" s="8">
        <v>0</v>
      </c>
    </row>
    <row r="205" spans="1:39" x14ac:dyDescent="0.25">
      <c r="A205" s="9">
        <v>93</v>
      </c>
      <c r="B205" t="s">
        <v>43</v>
      </c>
      <c r="C205" t="s">
        <v>42</v>
      </c>
      <c r="D205" t="s">
        <v>3</v>
      </c>
      <c r="E205">
        <v>45</v>
      </c>
      <c r="F205">
        <v>50</v>
      </c>
      <c r="G205">
        <v>45</v>
      </c>
      <c r="H205">
        <v>115</v>
      </c>
      <c r="I205">
        <v>55</v>
      </c>
      <c r="J205">
        <v>95</v>
      </c>
      <c r="K205" t="s">
        <v>263</v>
      </c>
      <c r="L205" s="2" t="s">
        <v>298</v>
      </c>
      <c r="M205" s="2" t="s">
        <v>299</v>
      </c>
      <c r="N205" s="9">
        <f t="shared" si="89"/>
        <v>10.050000000000001</v>
      </c>
      <c r="O205" s="9">
        <f t="shared" si="90"/>
        <v>4.8</v>
      </c>
      <c r="P205" s="9">
        <v>0</v>
      </c>
      <c r="Q205" s="9">
        <v>0</v>
      </c>
      <c r="R205" s="12">
        <f t="shared" si="91"/>
        <v>10</v>
      </c>
      <c r="S205" s="12">
        <f t="shared" si="92"/>
        <v>5</v>
      </c>
      <c r="T205" s="12">
        <f t="shared" si="93"/>
        <v>15</v>
      </c>
      <c r="U205" s="1" t="str">
        <f t="shared" si="87"/>
        <v>ghost</v>
      </c>
      <c r="V205" s="1" t="str">
        <f>IF(D205 = 0, "", D205)</f>
        <v>poison</v>
      </c>
      <c r="W205" s="1" t="s">
        <v>26</v>
      </c>
      <c r="X205" s="1" t="s">
        <v>9</v>
      </c>
      <c r="Y205" s="1" t="str">
        <f>B206</f>
        <v>Gengar</v>
      </c>
      <c r="Z205" s="12">
        <f t="shared" si="88"/>
        <v>5</v>
      </c>
      <c r="AA205" t="str">
        <f t="shared" si="149"/>
        <v>Haunter</v>
      </c>
      <c r="AB205"/>
      <c r="AC205" t="s">
        <v>504</v>
      </c>
      <c r="AD205" s="8" t="str">
        <f>VLOOKUP(AC205,moves!A:B,2,FALSE)</f>
        <v>ghost</v>
      </c>
      <c r="AE205" s="8">
        <f>VLOOKUP(AC205,moves!A:D,4,FALSE)</f>
        <v>3</v>
      </c>
      <c r="AF205" s="8" t="str">
        <f>VLOOKUP(AC205,moves!A:E,5,FALSE)</f>
        <v>If the target has a status effect, this move deals double damage.</v>
      </c>
      <c r="AG205" s="6">
        <v>0</v>
      </c>
      <c r="AH205" s="6">
        <v>0</v>
      </c>
      <c r="AI205" s="8" t="str" cm="1">
        <f t="array" ref="AI205">_xlfn.IFS(AG205=1, "starter", AH205=1, "legendary",T205&lt; 13, "weak",T205&lt; 17, "moderate", TRUE, "strong")</f>
        <v>moderate</v>
      </c>
      <c r="AK205">
        <v>2</v>
      </c>
      <c r="AL205" s="8">
        <v>0</v>
      </c>
      <c r="AM205" s="8">
        <v>0</v>
      </c>
    </row>
    <row r="206" spans="1:39" x14ac:dyDescent="0.25">
      <c r="A206" s="9">
        <v>94</v>
      </c>
      <c r="B206" t="s">
        <v>44</v>
      </c>
      <c r="C206" t="s">
        <v>42</v>
      </c>
      <c r="D206" t="s">
        <v>3</v>
      </c>
      <c r="E206">
        <v>60</v>
      </c>
      <c r="F206">
        <v>65</v>
      </c>
      <c r="G206">
        <v>60</v>
      </c>
      <c r="H206">
        <v>130</v>
      </c>
      <c r="I206">
        <v>75</v>
      </c>
      <c r="J206">
        <v>110</v>
      </c>
      <c r="K206" t="s">
        <v>264</v>
      </c>
      <c r="L206" s="2" t="s">
        <v>298</v>
      </c>
      <c r="M206" s="2" t="s">
        <v>299</v>
      </c>
      <c r="N206" s="9">
        <f t="shared" si="89"/>
        <v>11.55</v>
      </c>
      <c r="O206" s="9">
        <f t="shared" si="90"/>
        <v>6.45</v>
      </c>
      <c r="P206" s="9">
        <v>0</v>
      </c>
      <c r="Q206" s="9">
        <v>0</v>
      </c>
      <c r="R206" s="12">
        <f t="shared" si="91"/>
        <v>12</v>
      </c>
      <c r="S206" s="12">
        <f t="shared" si="92"/>
        <v>6</v>
      </c>
      <c r="T206" s="12">
        <f t="shared" si="93"/>
        <v>18</v>
      </c>
      <c r="U206" s="1" t="str">
        <f t="shared" si="87"/>
        <v>ghost</v>
      </c>
      <c r="V206" s="1" t="str">
        <f>IF(D206 = 0, "", D206)</f>
        <v>poison</v>
      </c>
      <c r="W206" s="1" t="s">
        <v>26</v>
      </c>
      <c r="X206" s="1" t="s">
        <v>9</v>
      </c>
      <c r="Z206" s="12" t="str">
        <f t="shared" si="88"/>
        <v/>
      </c>
      <c r="AA206" t="str">
        <f t="shared" si="149"/>
        <v>Gengar</v>
      </c>
      <c r="AB206"/>
      <c r="AC206" t="s">
        <v>636</v>
      </c>
      <c r="AD206" s="8" t="str">
        <f>VLOOKUP(AC206,moves!A:B,2,FALSE)</f>
        <v>poison</v>
      </c>
      <c r="AE206" s="8">
        <f>VLOOKUP(AC206,moves!A:D,4,FALSE)</f>
        <v>5</v>
      </c>
      <c r="AF206" s="8" t="str">
        <f>VLOOKUP(AC206,moves!A:E,5,FALSE)</f>
        <v>If 2+ status symbols are rolled: Inflict the Poisoned status on the target.</v>
      </c>
      <c r="AG206" s="6">
        <v>0</v>
      </c>
      <c r="AH206" s="6">
        <v>0</v>
      </c>
      <c r="AI206" s="8" t="str" cm="1">
        <f t="array" ref="AI206">_xlfn.IFS(AG206=1, "starter", AH206=1, "legendary",T206&lt; 13, "weak",T206&lt; 17, "moderate", TRUE, "strong")</f>
        <v>strong</v>
      </c>
      <c r="AK206">
        <v>3</v>
      </c>
      <c r="AL206" s="8">
        <v>0</v>
      </c>
      <c r="AM206" s="8">
        <v>0</v>
      </c>
    </row>
    <row r="207" spans="1:39" x14ac:dyDescent="0.25">
      <c r="A207" s="9">
        <v>95</v>
      </c>
      <c r="B207" t="s">
        <v>45</v>
      </c>
      <c r="C207" t="s">
        <v>33</v>
      </c>
      <c r="D207" t="s">
        <v>13</v>
      </c>
      <c r="E207">
        <v>35</v>
      </c>
      <c r="F207">
        <v>45</v>
      </c>
      <c r="G207">
        <v>160</v>
      </c>
      <c r="H207">
        <v>30</v>
      </c>
      <c r="I207">
        <v>45</v>
      </c>
      <c r="J207">
        <v>70</v>
      </c>
      <c r="K207" t="s">
        <v>265</v>
      </c>
      <c r="L207" s="2" t="s">
        <v>304</v>
      </c>
      <c r="M207" t="s">
        <v>302</v>
      </c>
      <c r="N207" s="9">
        <f t="shared" si="89"/>
        <v>5.35</v>
      </c>
      <c r="O207" s="9">
        <f t="shared" si="90"/>
        <v>7.55</v>
      </c>
      <c r="P207" s="9">
        <v>0</v>
      </c>
      <c r="Q207" s="9">
        <v>0</v>
      </c>
      <c r="R207" s="12">
        <f t="shared" si="91"/>
        <v>5</v>
      </c>
      <c r="S207" s="12">
        <f t="shared" si="92"/>
        <v>8</v>
      </c>
      <c r="T207" s="12">
        <f t="shared" si="93"/>
        <v>13</v>
      </c>
      <c r="U207" s="1" t="str">
        <f t="shared" si="87"/>
        <v>rock</v>
      </c>
      <c r="V207" s="1" t="str">
        <f>IF(D207 = 0, "", D207)</f>
        <v>ground</v>
      </c>
      <c r="W207" s="1" t="s">
        <v>39</v>
      </c>
      <c r="X207" s="1" t="s">
        <v>8</v>
      </c>
      <c r="Y207" s="1" t="str">
        <f>B208</f>
        <v>Steelix</v>
      </c>
      <c r="Z207" s="12">
        <f t="shared" si="88"/>
        <v>6</v>
      </c>
      <c r="AA207" t="str">
        <f t="shared" si="149"/>
        <v>Onix</v>
      </c>
      <c r="AB207"/>
      <c r="AC207" t="s">
        <v>503</v>
      </c>
      <c r="AD207" s="8" t="str">
        <f>VLOOKUP(AC207,moves!A:B,2,FALSE)</f>
        <v>rock</v>
      </c>
      <c r="AE207" s="8">
        <f>VLOOKUP(AC207,moves!A:D,4,FALSE)</f>
        <v>5</v>
      </c>
      <c r="AF207" s="8" t="str">
        <f>VLOOKUP(AC207,moves!A:E,5,FALSE)</f>
        <v>Status symbols deal -2 damage.</v>
      </c>
      <c r="AG207" s="6">
        <v>0</v>
      </c>
      <c r="AH207" s="6">
        <v>0</v>
      </c>
      <c r="AI207" s="8" t="str" cm="1">
        <f t="array" ref="AI207">_xlfn.IFS(AG207=1, "starter", AH207=1, "legendary",T207&lt; 13, "weak",T207&lt; 17, "moderate", TRUE, "strong")</f>
        <v>moderate</v>
      </c>
      <c r="AK207">
        <v>1</v>
      </c>
      <c r="AL207" s="8">
        <v>0</v>
      </c>
      <c r="AM207" s="8">
        <v>0</v>
      </c>
    </row>
    <row r="208" spans="1:39" x14ac:dyDescent="0.25">
      <c r="A208" s="9">
        <v>208</v>
      </c>
      <c r="B208" t="s">
        <v>88</v>
      </c>
      <c r="C208" t="s">
        <v>39</v>
      </c>
      <c r="D208" t="s">
        <v>13</v>
      </c>
      <c r="E208">
        <v>75</v>
      </c>
      <c r="F208">
        <v>85</v>
      </c>
      <c r="G208">
        <v>200</v>
      </c>
      <c r="H208">
        <v>55</v>
      </c>
      <c r="I208">
        <v>65</v>
      </c>
      <c r="J208">
        <v>30</v>
      </c>
      <c r="K208" t="s">
        <v>278</v>
      </c>
      <c r="L208" s="2" t="s">
        <v>304</v>
      </c>
      <c r="M208" t="s">
        <v>302</v>
      </c>
      <c r="N208" s="9">
        <f t="shared" si="89"/>
        <v>6</v>
      </c>
      <c r="O208" s="9">
        <f t="shared" si="90"/>
        <v>10.95</v>
      </c>
      <c r="P208" s="9">
        <v>0</v>
      </c>
      <c r="Q208" s="9">
        <v>0</v>
      </c>
      <c r="R208" s="12">
        <f t="shared" si="91"/>
        <v>6</v>
      </c>
      <c r="S208" s="12">
        <f t="shared" si="92"/>
        <v>11</v>
      </c>
      <c r="T208" s="12">
        <f t="shared" si="93"/>
        <v>17</v>
      </c>
      <c r="U208" s="1" t="str">
        <f t="shared" si="87"/>
        <v>steel</v>
      </c>
      <c r="V208" s="1" t="str">
        <f>IF(D208 = 0, "", D208)</f>
        <v>ground</v>
      </c>
      <c r="W208" t="s">
        <v>33</v>
      </c>
      <c r="X208" s="1" t="s">
        <v>8</v>
      </c>
      <c r="Z208" s="12" t="str">
        <f t="shared" si="88"/>
        <v/>
      </c>
      <c r="AA208" t="str">
        <f t="shared" si="149"/>
        <v>Steelix</v>
      </c>
      <c r="AB208"/>
      <c r="AC208" t="s">
        <v>509</v>
      </c>
      <c r="AD208" s="8" t="str">
        <f>VLOOKUP(AC208,moves!A:B,2,FALSE)</f>
        <v>steel</v>
      </c>
      <c r="AE208" s="8">
        <f>VLOOKUP(AC208,moves!A:D,4,FALSE)</f>
        <v>4</v>
      </c>
      <c r="AF208" s="8" t="str">
        <f>VLOOKUP(AC208,moves!A:E,5,FALSE)</f>
        <v>When the target is next attacked, add a regular hit to the roll.</v>
      </c>
      <c r="AG208" s="6">
        <v>0</v>
      </c>
      <c r="AH208" s="6">
        <v>0</v>
      </c>
      <c r="AI208" s="8" t="str" cm="1">
        <f t="array" ref="AI208">_xlfn.IFS(AG208=1, "starter", AH208=1, "legendary",T208&lt; 13, "weak",T208&lt; 17, "moderate", TRUE, "strong")</f>
        <v>strong</v>
      </c>
      <c r="AK208">
        <v>2</v>
      </c>
      <c r="AL208" s="8">
        <v>0</v>
      </c>
      <c r="AM208" s="8">
        <v>0</v>
      </c>
    </row>
    <row r="209" spans="1:39" x14ac:dyDescent="0.25">
      <c r="A209" s="9">
        <v>173</v>
      </c>
      <c r="B209" t="s">
        <v>72</v>
      </c>
      <c r="C209" t="s">
        <v>16</v>
      </c>
      <c r="D209"/>
      <c r="E209">
        <v>50</v>
      </c>
      <c r="F209">
        <v>25</v>
      </c>
      <c r="G209">
        <v>28</v>
      </c>
      <c r="H209">
        <v>45</v>
      </c>
      <c r="I209">
        <v>55</v>
      </c>
      <c r="J209">
        <v>15</v>
      </c>
      <c r="K209" t="s">
        <v>273</v>
      </c>
      <c r="L209" s="2" t="s">
        <v>304</v>
      </c>
      <c r="M209" t="s">
        <v>300</v>
      </c>
      <c r="N209" s="9">
        <f t="shared" si="89"/>
        <v>3.1</v>
      </c>
      <c r="O209" s="9">
        <f t="shared" si="90"/>
        <v>4.49</v>
      </c>
      <c r="P209" s="9">
        <v>0</v>
      </c>
      <c r="Q209" s="9">
        <v>1</v>
      </c>
      <c r="R209" s="12">
        <f t="shared" si="91"/>
        <v>3</v>
      </c>
      <c r="S209" s="12">
        <f t="shared" si="92"/>
        <v>5</v>
      </c>
      <c r="T209" s="12">
        <f t="shared" si="93"/>
        <v>8</v>
      </c>
      <c r="U209" s="1" t="str">
        <f t="shared" si="87"/>
        <v>fairy</v>
      </c>
      <c r="V209" s="1" t="s">
        <v>26</v>
      </c>
      <c r="W209" t="s">
        <v>8</v>
      </c>
      <c r="X209" s="1" t="s">
        <v>11</v>
      </c>
      <c r="Y209" s="1" t="str">
        <f>B210</f>
        <v>Clefairy</v>
      </c>
      <c r="Z209" s="12">
        <f t="shared" si="88"/>
        <v>2</v>
      </c>
      <c r="AA209" t="str">
        <f t="shared" si="149"/>
        <v>Cleffa</v>
      </c>
      <c r="AB209"/>
      <c r="AC209" t="s">
        <v>714</v>
      </c>
      <c r="AD209" s="8" t="str">
        <f>VLOOKUP(AC209,moves!A:B,2,FALSE)</f>
        <v>normal</v>
      </c>
      <c r="AE209" s="8">
        <f>VLOOKUP(AC209,moves!A:D,4,FALSE)</f>
        <v>2</v>
      </c>
      <c r="AF209" s="8" t="str">
        <f>VLOOKUP(AC209,moves!A:E,5,FALSE)</f>
        <v>If the user faints when it is next attacked, the user may use a final move before fainting.</v>
      </c>
      <c r="AG209" s="6">
        <v>0</v>
      </c>
      <c r="AH209" s="6">
        <v>0</v>
      </c>
      <c r="AI209" s="8" t="str" cm="1">
        <f t="array" ref="AI209">_xlfn.IFS(AG209=1, "starter", AH209=1, "legendary",T209&lt; 13, "weak",T209&lt; 17, "moderate", TRUE, "strong")</f>
        <v>weak</v>
      </c>
      <c r="AK209">
        <v>1</v>
      </c>
      <c r="AL209" s="8">
        <v>0</v>
      </c>
      <c r="AM209" s="8">
        <v>0</v>
      </c>
    </row>
    <row r="210" spans="1:39" x14ac:dyDescent="0.25">
      <c r="A210" s="9">
        <v>35</v>
      </c>
      <c r="B210" t="s">
        <v>15</v>
      </c>
      <c r="C210" t="s">
        <v>16</v>
      </c>
      <c r="D210"/>
      <c r="E210">
        <v>70</v>
      </c>
      <c r="F210">
        <v>45</v>
      </c>
      <c r="G210">
        <v>48</v>
      </c>
      <c r="H210">
        <v>60</v>
      </c>
      <c r="I210">
        <v>65</v>
      </c>
      <c r="J210">
        <v>35</v>
      </c>
      <c r="K210" t="s">
        <v>252</v>
      </c>
      <c r="L210" s="2" t="s">
        <v>304</v>
      </c>
      <c r="M210" t="s">
        <v>300</v>
      </c>
      <c r="N210" s="9">
        <f t="shared" si="89"/>
        <v>4.8499999999999996</v>
      </c>
      <c r="O210" s="9">
        <f t="shared" si="90"/>
        <v>6.1899999999999995</v>
      </c>
      <c r="P210" s="9">
        <v>0</v>
      </c>
      <c r="Q210" s="9">
        <v>0</v>
      </c>
      <c r="R210" s="12">
        <f t="shared" si="91"/>
        <v>5</v>
      </c>
      <c r="S210" s="12">
        <f t="shared" si="92"/>
        <v>6</v>
      </c>
      <c r="T210" s="12">
        <f t="shared" si="93"/>
        <v>11</v>
      </c>
      <c r="U210" s="1" t="str">
        <f t="shared" si="87"/>
        <v>fairy</v>
      </c>
      <c r="V210" s="1" t="s">
        <v>26</v>
      </c>
      <c r="W210" t="s">
        <v>8</v>
      </c>
      <c r="X210" s="1" t="s">
        <v>11</v>
      </c>
      <c r="Y210" s="1" t="str">
        <f>B211</f>
        <v>Clefable</v>
      </c>
      <c r="Z210" s="12">
        <f t="shared" si="88"/>
        <v>7</v>
      </c>
      <c r="AA210" t="str">
        <f t="shared" si="149"/>
        <v>Clefairy</v>
      </c>
      <c r="AB210"/>
      <c r="AC210" t="s">
        <v>545</v>
      </c>
      <c r="AD210" s="8" t="str">
        <f>VLOOKUP(AC210,moves!A:B,2,FALSE)</f>
        <v>typeless</v>
      </c>
      <c r="AE210" s="8" t="str">
        <f>VLOOKUP(AC210,moves!A:D,4,FALSE)</f>
        <v>?</v>
      </c>
      <c r="AF210" s="8" t="str">
        <f>VLOOKUP(AC210,moves!A:E,5,FALSE)</f>
        <v>Shuffle the Evolution Pokémon deck and then attack the target with the top move of the deck.</v>
      </c>
      <c r="AG210" s="6">
        <v>0</v>
      </c>
      <c r="AH210" s="6">
        <v>0</v>
      </c>
      <c r="AI210" s="8" t="str" cm="1">
        <f t="array" ref="AI210">_xlfn.IFS(AG210=1, "starter", AH210=1, "legendary",T210&lt; 13, "weak",T210&lt; 17, "moderate", TRUE, "strong")</f>
        <v>weak</v>
      </c>
      <c r="AK210">
        <v>2</v>
      </c>
      <c r="AL210" s="8">
        <v>0</v>
      </c>
      <c r="AM210" s="8">
        <v>0</v>
      </c>
    </row>
    <row r="211" spans="1:39" x14ac:dyDescent="0.25">
      <c r="A211" s="9">
        <v>36</v>
      </c>
      <c r="B211" t="s">
        <v>17</v>
      </c>
      <c r="C211" t="s">
        <v>16</v>
      </c>
      <c r="D211"/>
      <c r="E211">
        <v>95</v>
      </c>
      <c r="F211">
        <v>70</v>
      </c>
      <c r="G211">
        <v>73</v>
      </c>
      <c r="H211">
        <v>95</v>
      </c>
      <c r="I211">
        <v>90</v>
      </c>
      <c r="J211">
        <v>60</v>
      </c>
      <c r="K211" t="s">
        <v>252</v>
      </c>
      <c r="L211" s="2" t="s">
        <v>304</v>
      </c>
      <c r="M211" t="s">
        <v>300</v>
      </c>
      <c r="N211" s="9">
        <f t="shared" si="89"/>
        <v>7.85</v>
      </c>
      <c r="O211" s="9">
        <f t="shared" si="90"/>
        <v>8.6900000000000013</v>
      </c>
      <c r="P211" s="9">
        <v>0</v>
      </c>
      <c r="Q211" s="9">
        <v>0</v>
      </c>
      <c r="R211" s="12">
        <f t="shared" si="91"/>
        <v>8</v>
      </c>
      <c r="S211" s="12">
        <f t="shared" si="92"/>
        <v>9</v>
      </c>
      <c r="T211" s="12">
        <f t="shared" si="93"/>
        <v>17</v>
      </c>
      <c r="U211" s="1" t="str">
        <f t="shared" si="87"/>
        <v>fairy</v>
      </c>
      <c r="V211" s="1" t="s">
        <v>26</v>
      </c>
      <c r="W211" t="s">
        <v>8</v>
      </c>
      <c r="X211" s="1" t="s">
        <v>11</v>
      </c>
      <c r="Z211" s="12" t="str">
        <f t="shared" si="88"/>
        <v/>
      </c>
      <c r="AA211" t="str">
        <f t="shared" si="149"/>
        <v>Clefable</v>
      </c>
      <c r="AB211"/>
      <c r="AC211" t="s">
        <v>538</v>
      </c>
      <c r="AD211" s="8" t="str">
        <f>VLOOKUP(AC211,moves!A:B,2,FALSE)</f>
        <v>fairy</v>
      </c>
      <c r="AE211" s="8">
        <f>VLOOKUP(AC211,moves!A:D,4,FALSE)</f>
        <v>5</v>
      </c>
      <c r="AF211" s="8" t="str">
        <f>VLOOKUP(AC211,moves!A:E,5,FALSE)</f>
        <v>If 2+ status symbols are rolled: Inflict the Drowsy status on the target.</v>
      </c>
      <c r="AG211" s="6">
        <v>0</v>
      </c>
      <c r="AH211" s="6">
        <v>0</v>
      </c>
      <c r="AI211" s="8" t="str" cm="1">
        <f t="array" ref="AI211">_xlfn.IFS(AG211=1, "starter", AH211=1, "legendary",T211&lt; 13, "weak",T211&lt; 17, "moderate", TRUE, "strong")</f>
        <v>strong</v>
      </c>
      <c r="AK211">
        <v>3</v>
      </c>
      <c r="AL211" s="8">
        <v>0</v>
      </c>
      <c r="AM211" s="8">
        <v>0</v>
      </c>
    </row>
    <row r="212" spans="1:39" x14ac:dyDescent="0.25">
      <c r="A212" s="9">
        <v>194</v>
      </c>
      <c r="B212" t="s">
        <v>80</v>
      </c>
      <c r="C212" t="s">
        <v>6</v>
      </c>
      <c r="D212" t="s">
        <v>13</v>
      </c>
      <c r="E212">
        <v>55</v>
      </c>
      <c r="F212">
        <v>45</v>
      </c>
      <c r="G212">
        <v>45</v>
      </c>
      <c r="H212">
        <v>25</v>
      </c>
      <c r="I212">
        <v>25</v>
      </c>
      <c r="J212">
        <v>15</v>
      </c>
      <c r="K212" t="s">
        <v>276</v>
      </c>
      <c r="L212" s="2" t="s">
        <v>303</v>
      </c>
      <c r="M212" t="s">
        <v>299</v>
      </c>
      <c r="N212" s="9">
        <f t="shared" si="89"/>
        <v>3.1</v>
      </c>
      <c r="O212" s="9">
        <f t="shared" si="90"/>
        <v>4.3</v>
      </c>
      <c r="P212" s="9">
        <v>0</v>
      </c>
      <c r="Q212" s="9">
        <v>0</v>
      </c>
      <c r="R212" s="12">
        <f t="shared" si="91"/>
        <v>3</v>
      </c>
      <c r="S212" s="12">
        <f t="shared" si="92"/>
        <v>4</v>
      </c>
      <c r="T212" s="12">
        <f t="shared" si="93"/>
        <v>7</v>
      </c>
      <c r="U212" s="1" t="str">
        <f t="shared" si="87"/>
        <v>water</v>
      </c>
      <c r="V212" s="1" t="str">
        <f>IF(D212 = 0, "", D212)</f>
        <v>ground</v>
      </c>
      <c r="W212" t="s">
        <v>14</v>
      </c>
      <c r="X212" s="1" t="s">
        <v>3</v>
      </c>
      <c r="Y212" s="1" t="str">
        <f>B213</f>
        <v>Quagsire</v>
      </c>
      <c r="Z212" s="12">
        <f t="shared" si="88"/>
        <v>5</v>
      </c>
      <c r="AA212" t="str">
        <f t="shared" si="149"/>
        <v>Wooper</v>
      </c>
      <c r="AB212"/>
      <c r="AC212" t="s">
        <v>764</v>
      </c>
      <c r="AD212" s="8" t="str">
        <f>VLOOKUP(AC212,moves!A:B,2,FALSE)</f>
        <v>ground</v>
      </c>
      <c r="AE212" s="8">
        <f>VLOOKUP(AC212,moves!A:D,4,FALSE)</f>
        <v>3</v>
      </c>
      <c r="AF212" s="8" t="str">
        <f>VLOOKUP(AC212,moves!A:E,5,FALSE)</f>
        <v>When the target next attacks, status symbols deal -1 damage.</v>
      </c>
      <c r="AG212" s="6">
        <v>0</v>
      </c>
      <c r="AH212" s="6">
        <v>0</v>
      </c>
      <c r="AI212" s="8" t="str" cm="1">
        <f t="array" ref="AI212">_xlfn.IFS(AG212=1, "starter", AH212=1, "legendary",T212&lt; 13, "weak",T212&lt; 17, "moderate", TRUE, "strong")</f>
        <v>weak</v>
      </c>
      <c r="AK212">
        <v>1</v>
      </c>
      <c r="AL212" s="8">
        <v>0</v>
      </c>
      <c r="AM212" s="8">
        <v>0</v>
      </c>
    </row>
    <row r="213" spans="1:39" x14ac:dyDescent="0.25">
      <c r="A213" s="9">
        <v>195</v>
      </c>
      <c r="B213" t="s">
        <v>81</v>
      </c>
      <c r="C213" t="s">
        <v>6</v>
      </c>
      <c r="D213" t="s">
        <v>13</v>
      </c>
      <c r="E213">
        <v>95</v>
      </c>
      <c r="F213">
        <v>85</v>
      </c>
      <c r="G213">
        <v>85</v>
      </c>
      <c r="H213">
        <v>65</v>
      </c>
      <c r="I213">
        <v>65</v>
      </c>
      <c r="J213">
        <v>35</v>
      </c>
      <c r="K213" t="s">
        <v>276</v>
      </c>
      <c r="L213" s="2" t="s">
        <v>303</v>
      </c>
      <c r="M213" t="s">
        <v>299</v>
      </c>
      <c r="N213" s="9">
        <f t="shared" si="89"/>
        <v>6.3</v>
      </c>
      <c r="O213" s="9">
        <f t="shared" si="90"/>
        <v>8.3000000000000007</v>
      </c>
      <c r="P213" s="9">
        <v>0</v>
      </c>
      <c r="Q213" s="9">
        <v>0</v>
      </c>
      <c r="R213" s="12">
        <f t="shared" si="91"/>
        <v>6</v>
      </c>
      <c r="S213" s="12">
        <f t="shared" si="92"/>
        <v>8</v>
      </c>
      <c r="T213" s="12">
        <f t="shared" si="93"/>
        <v>14</v>
      </c>
      <c r="U213" s="1" t="str">
        <f t="shared" si="87"/>
        <v>water</v>
      </c>
      <c r="V213" s="1" t="str">
        <f>IF(D213 = 0, "", D213)</f>
        <v>ground</v>
      </c>
      <c r="W213" t="s">
        <v>14</v>
      </c>
      <c r="X213" s="1" t="s">
        <v>3</v>
      </c>
      <c r="Z213" s="12" t="str">
        <f t="shared" si="88"/>
        <v/>
      </c>
      <c r="AA213" t="str">
        <f t="shared" si="149"/>
        <v>Quagsire</v>
      </c>
      <c r="AB213"/>
      <c r="AC213" t="s">
        <v>891</v>
      </c>
      <c r="AD213" s="8" t="str">
        <f>VLOOKUP(AC213,moves!A:B,2,FALSE)</f>
        <v>water</v>
      </c>
      <c r="AE213" s="8">
        <f>VLOOKUP(AC213,moves!A:D,4,FALSE)</f>
        <v>4</v>
      </c>
      <c r="AF213" s="8" t="str">
        <f>VLOOKUP(AC213,moves!A:E,5,FALSE)</f>
        <v>When the target next attacks, status symbols deal -1 damage. This move counts towards the effect of Surf.</v>
      </c>
      <c r="AG213" s="6">
        <v>0</v>
      </c>
      <c r="AH213" s="6">
        <v>0</v>
      </c>
      <c r="AI213" s="8" t="str" cm="1">
        <f t="array" ref="AI213">_xlfn.IFS(AG213=1, "starter", AH213=1, "legendary",T213&lt; 13, "weak",T213&lt; 17, "moderate", TRUE, "strong")</f>
        <v>moderate</v>
      </c>
      <c r="AK213">
        <v>2</v>
      </c>
      <c r="AL213" s="8">
        <v>0</v>
      </c>
      <c r="AM213" s="8">
        <v>0</v>
      </c>
    </row>
    <row r="214" spans="1:39" x14ac:dyDescent="0.25">
      <c r="A214" s="9">
        <v>63</v>
      </c>
      <c r="B214" t="s">
        <v>25</v>
      </c>
      <c r="C214" t="s">
        <v>26</v>
      </c>
      <c r="D214"/>
      <c r="E214">
        <v>25</v>
      </c>
      <c r="F214">
        <v>20</v>
      </c>
      <c r="G214">
        <v>15</v>
      </c>
      <c r="H214">
        <v>105</v>
      </c>
      <c r="I214">
        <v>55</v>
      </c>
      <c r="J214">
        <v>90</v>
      </c>
      <c r="K214" t="s">
        <v>258</v>
      </c>
      <c r="L214" s="2" t="s">
        <v>301</v>
      </c>
      <c r="M214" t="s">
        <v>300</v>
      </c>
      <c r="N214" s="9">
        <f t="shared" si="89"/>
        <v>9.0500000000000007</v>
      </c>
      <c r="O214" s="9">
        <f t="shared" si="90"/>
        <v>3.1</v>
      </c>
      <c r="P214" s="9">
        <v>0</v>
      </c>
      <c r="Q214" s="9">
        <v>0</v>
      </c>
      <c r="R214" s="12">
        <f t="shared" si="91"/>
        <v>9</v>
      </c>
      <c r="S214" s="12">
        <f t="shared" si="92"/>
        <v>3</v>
      </c>
      <c r="T214" s="12">
        <f t="shared" si="93"/>
        <v>12</v>
      </c>
      <c r="U214" s="1" t="str">
        <f t="shared" si="87"/>
        <v>psychic</v>
      </c>
      <c r="V214" s="1" t="s">
        <v>8</v>
      </c>
      <c r="W214" t="s">
        <v>42</v>
      </c>
      <c r="X214" s="1" t="s">
        <v>16</v>
      </c>
      <c r="Y214" s="1" t="str">
        <f>B215</f>
        <v>Kadabra</v>
      </c>
      <c r="Z214" s="12">
        <f t="shared" si="88"/>
        <v>5</v>
      </c>
      <c r="AA214" t="str">
        <f t="shared" si="149"/>
        <v>Abra</v>
      </c>
      <c r="AB214"/>
      <c r="AC214" t="s">
        <v>544</v>
      </c>
      <c r="AD214" s="8" t="str">
        <f>VLOOKUP(AC214,moves!A:B,2,FALSE)</f>
        <v>psychic</v>
      </c>
      <c r="AE214" s="8">
        <f>VLOOKUP(AC214,moves!A:D,4,FALSE)</f>
        <v>1</v>
      </c>
      <c r="AF214" s="8" t="str">
        <f>VLOOKUP(AC214,moves!A:E,5,FALSE)</f>
        <v>The user may switch out. When the target next attacks, remove 2 regular hits from the roll.</v>
      </c>
      <c r="AG214" s="6">
        <v>0</v>
      </c>
      <c r="AH214" s="6">
        <v>0</v>
      </c>
      <c r="AI214" s="8" t="str" cm="1">
        <f t="array" ref="AI214">_xlfn.IFS(AG214=1, "starter", AH214=1, "legendary",T214&lt; 13, "weak",T214&lt; 17, "moderate", TRUE, "strong")</f>
        <v>weak</v>
      </c>
      <c r="AK214">
        <v>1</v>
      </c>
      <c r="AL214" s="8">
        <v>0</v>
      </c>
      <c r="AM214" s="8">
        <v>0</v>
      </c>
    </row>
    <row r="215" spans="1:39" x14ac:dyDescent="0.25">
      <c r="A215" s="9">
        <v>64</v>
      </c>
      <c r="B215" t="s">
        <v>27</v>
      </c>
      <c r="C215" t="s">
        <v>26</v>
      </c>
      <c r="D215"/>
      <c r="E215">
        <v>40</v>
      </c>
      <c r="F215">
        <v>35</v>
      </c>
      <c r="G215">
        <v>30</v>
      </c>
      <c r="H215">
        <v>120</v>
      </c>
      <c r="I215">
        <v>70</v>
      </c>
      <c r="J215">
        <v>105</v>
      </c>
      <c r="K215" t="s">
        <v>258</v>
      </c>
      <c r="L215" s="2" t="s">
        <v>301</v>
      </c>
      <c r="M215" t="s">
        <v>300</v>
      </c>
      <c r="N215" s="9">
        <f t="shared" si="89"/>
        <v>10.55</v>
      </c>
      <c r="O215" s="9">
        <f t="shared" si="90"/>
        <v>4.5999999999999996</v>
      </c>
      <c r="P215" s="9">
        <v>0</v>
      </c>
      <c r="Q215" s="9">
        <v>0</v>
      </c>
      <c r="R215" s="12">
        <f t="shared" si="91"/>
        <v>11</v>
      </c>
      <c r="S215" s="12">
        <f t="shared" si="92"/>
        <v>5</v>
      </c>
      <c r="T215" s="12">
        <f t="shared" si="93"/>
        <v>16</v>
      </c>
      <c r="U215" s="1" t="str">
        <f t="shared" si="87"/>
        <v>psychic</v>
      </c>
      <c r="V215" s="1" t="s">
        <v>8</v>
      </c>
      <c r="W215" t="s">
        <v>42</v>
      </c>
      <c r="X215" s="1" t="s">
        <v>16</v>
      </c>
      <c r="Y215" s="1" t="str">
        <f>B216</f>
        <v>Alakazam</v>
      </c>
      <c r="Z215" s="12">
        <f t="shared" si="88"/>
        <v>4</v>
      </c>
      <c r="AA215" t="str">
        <f t="shared" si="149"/>
        <v>Kadabra</v>
      </c>
      <c r="AB215"/>
      <c r="AC215" s="26" t="s">
        <v>881</v>
      </c>
      <c r="AD215" s="8" t="str">
        <f>VLOOKUP(AC215,moves!A:B,2,FALSE)</f>
        <v>psychic</v>
      </c>
      <c r="AE215" s="8">
        <f>VLOOKUP(AC215,moves!A:D,4,FALSE)</f>
        <v>3</v>
      </c>
      <c r="AF215" s="8" t="str">
        <f>VLOOKUP(AC215,moves!A:E,5,FALSE)</f>
        <v>Copy the effect of a move the user or target knows.</v>
      </c>
      <c r="AG215" s="6">
        <v>0</v>
      </c>
      <c r="AH215" s="6">
        <v>0</v>
      </c>
      <c r="AI215" s="8" t="str" cm="1">
        <f t="array" ref="AI215">_xlfn.IFS(AG215=1, "starter", AH215=1, "legendary",T215&lt; 13, "weak",T215&lt; 17, "moderate", TRUE, "strong")</f>
        <v>moderate</v>
      </c>
      <c r="AK215">
        <v>2</v>
      </c>
      <c r="AL215" s="8">
        <v>0</v>
      </c>
      <c r="AM215" s="8">
        <v>0</v>
      </c>
    </row>
    <row r="216" spans="1:39" x14ac:dyDescent="0.25">
      <c r="A216" s="9">
        <v>65</v>
      </c>
      <c r="B216" t="s">
        <v>28</v>
      </c>
      <c r="C216" t="s">
        <v>26</v>
      </c>
      <c r="D216"/>
      <c r="E216">
        <v>55</v>
      </c>
      <c r="F216">
        <v>50</v>
      </c>
      <c r="G216">
        <v>45</v>
      </c>
      <c r="H216">
        <v>135</v>
      </c>
      <c r="I216">
        <v>95</v>
      </c>
      <c r="J216">
        <v>120</v>
      </c>
      <c r="K216" t="s">
        <v>258</v>
      </c>
      <c r="L216" s="2" t="s">
        <v>301</v>
      </c>
      <c r="M216" t="s">
        <v>300</v>
      </c>
      <c r="N216" s="9">
        <f t="shared" si="89"/>
        <v>12.05</v>
      </c>
      <c r="O216" s="9">
        <f t="shared" si="90"/>
        <v>6.4</v>
      </c>
      <c r="P216" s="9">
        <v>0</v>
      </c>
      <c r="Q216" s="9">
        <v>0</v>
      </c>
      <c r="R216" s="12">
        <f t="shared" si="91"/>
        <v>12</v>
      </c>
      <c r="S216" s="12">
        <f t="shared" si="92"/>
        <v>6</v>
      </c>
      <c r="T216" s="12">
        <f t="shared" si="93"/>
        <v>18</v>
      </c>
      <c r="U216" s="1" t="str">
        <f t="shared" si="87"/>
        <v>psychic</v>
      </c>
      <c r="V216" s="1" t="s">
        <v>8</v>
      </c>
      <c r="W216" t="s">
        <v>42</v>
      </c>
      <c r="X216" s="1" t="s">
        <v>16</v>
      </c>
      <c r="Z216" s="12" t="str">
        <f t="shared" si="88"/>
        <v/>
      </c>
      <c r="AA216" t="str">
        <f t="shared" si="149"/>
        <v>Alakazam</v>
      </c>
      <c r="AB216"/>
      <c r="AC216" t="s">
        <v>498</v>
      </c>
      <c r="AD216" s="8" t="str">
        <f>VLOOKUP(AC216,moves!A:B,2,FALSE)</f>
        <v>psychic</v>
      </c>
      <c r="AE216" s="8">
        <f>VLOOKUP(AC216,moves!A:D,4,FALSE)</f>
        <v>4</v>
      </c>
      <c r="AF216" s="8" t="str">
        <f>VLOOKUP(AC216,moves!A:E,5,FALSE)</f>
        <v>If a status symbol is rolled: Inflict the Confused status on the target.</v>
      </c>
      <c r="AG216" s="6">
        <v>0</v>
      </c>
      <c r="AH216" s="6">
        <v>0</v>
      </c>
      <c r="AI216" s="8" t="str" cm="1">
        <f t="array" ref="AI216">_xlfn.IFS(AG216=1, "starter", AH216=1, "legendary",T216&lt; 13, "weak",T216&lt; 17, "moderate", TRUE, "strong")</f>
        <v>strong</v>
      </c>
      <c r="AK216">
        <v>3</v>
      </c>
      <c r="AL216" s="8">
        <v>0</v>
      </c>
      <c r="AM216" s="8">
        <v>0</v>
      </c>
    </row>
    <row r="217" spans="1:39" x14ac:dyDescent="0.25">
      <c r="A217" s="9">
        <v>37</v>
      </c>
      <c r="B217" t="s">
        <v>18</v>
      </c>
      <c r="C217" t="s">
        <v>4</v>
      </c>
      <c r="D217"/>
      <c r="E217">
        <v>38</v>
      </c>
      <c r="F217">
        <v>41</v>
      </c>
      <c r="G217">
        <v>40</v>
      </c>
      <c r="H217">
        <v>50</v>
      </c>
      <c r="I217">
        <v>65</v>
      </c>
      <c r="J217">
        <v>65</v>
      </c>
      <c r="K217" t="s">
        <v>253</v>
      </c>
      <c r="L217" s="2" t="s">
        <v>301</v>
      </c>
      <c r="M217" t="s">
        <v>300</v>
      </c>
      <c r="N217" s="9">
        <f t="shared" si="89"/>
        <v>5.51</v>
      </c>
      <c r="O217" s="9">
        <f t="shared" si="90"/>
        <v>4.67</v>
      </c>
      <c r="P217" s="9">
        <v>0</v>
      </c>
      <c r="Q217" s="9">
        <v>0</v>
      </c>
      <c r="R217" s="12">
        <f t="shared" si="91"/>
        <v>6</v>
      </c>
      <c r="S217" s="12">
        <f t="shared" si="92"/>
        <v>5</v>
      </c>
      <c r="T217" s="12">
        <f t="shared" si="93"/>
        <v>11</v>
      </c>
      <c r="U217" s="1" t="str">
        <f t="shared" ref="U217:U226" si="158">C217</f>
        <v>fire</v>
      </c>
      <c r="V217" s="1" t="s">
        <v>8</v>
      </c>
      <c r="W217" t="s">
        <v>42</v>
      </c>
      <c r="X217" s="1" t="s">
        <v>9</v>
      </c>
      <c r="Y217" s="1" t="str">
        <f>B218</f>
        <v>Ninetales</v>
      </c>
      <c r="Z217" s="12">
        <f t="shared" ref="Z217:Z279" si="159">IF(ISBLANK(Y217), "", ROUND(( (T218-6)*(T218-7) - (T217-6)*(T217-7) )/15, 0) + 1)</f>
        <v>7</v>
      </c>
      <c r="AA217" t="str">
        <f t="shared" si="149"/>
        <v>Vulpix</v>
      </c>
      <c r="AB217"/>
      <c r="AC217" t="s">
        <v>883</v>
      </c>
      <c r="AD217" s="8" t="str">
        <f>VLOOKUP(AC217,moves!A:B,2,FALSE)</f>
        <v>fire</v>
      </c>
      <c r="AE217" s="8">
        <f>VLOOKUP(AC217,moves!A:D,4,FALSE)</f>
        <v>2</v>
      </c>
      <c r="AF217" s="8" t="str">
        <f>VLOOKUP(AC217,moves!A:E,5,FALSE)</f>
        <v>Inflict the Burned status on the target.</v>
      </c>
      <c r="AG217" s="6">
        <v>0</v>
      </c>
      <c r="AH217" s="6">
        <v>0</v>
      </c>
      <c r="AI217" s="8" t="str" cm="1">
        <f t="array" ref="AI217">_xlfn.IFS(AG217=1, "starter", AH217=1, "legendary",T217&lt; 13, "weak",T217&lt; 17, "moderate", TRUE, "strong")</f>
        <v>weak</v>
      </c>
      <c r="AK217">
        <v>1</v>
      </c>
      <c r="AL217" s="8">
        <v>0</v>
      </c>
      <c r="AM217" s="8">
        <v>0</v>
      </c>
    </row>
    <row r="218" spans="1:39" x14ac:dyDescent="0.25">
      <c r="A218" s="9">
        <v>38</v>
      </c>
      <c r="B218" t="s">
        <v>19</v>
      </c>
      <c r="C218" t="s">
        <v>4</v>
      </c>
      <c r="D218"/>
      <c r="E218">
        <v>73</v>
      </c>
      <c r="F218">
        <v>67</v>
      </c>
      <c r="G218">
        <v>75</v>
      </c>
      <c r="H218">
        <v>81</v>
      </c>
      <c r="I218">
        <v>100</v>
      </c>
      <c r="J218">
        <v>109</v>
      </c>
      <c r="K218" t="s">
        <v>253</v>
      </c>
      <c r="L218" s="2" t="s">
        <v>301</v>
      </c>
      <c r="M218" t="s">
        <v>300</v>
      </c>
      <c r="N218" s="9">
        <f t="shared" ref="N218:N294" si="160">(0.4*J218 + 0.5*MAX(F218,H218) + 0.1*MIN(F218,H218)) / 10</f>
        <v>9.08</v>
      </c>
      <c r="O218" s="9">
        <f t="shared" ref="O218:O294" si="161">(0.4*E218 + 0.3*G218 + 0.3*I218) / 10</f>
        <v>8.17</v>
      </c>
      <c r="P218" s="9">
        <v>0</v>
      </c>
      <c r="Q218" s="9">
        <v>0</v>
      </c>
      <c r="R218" s="12">
        <f t="shared" ref="R218:R294" si="162">ROUND(N218,0)+P218</f>
        <v>9</v>
      </c>
      <c r="S218" s="12">
        <f t="shared" ref="S218:S294" si="163">ROUND(O218,0)+Q218</f>
        <v>8</v>
      </c>
      <c r="T218" s="12">
        <f t="shared" ref="T218:T344" si="164">SUM(ROUND(R218,0),ROUND(S218,0))</f>
        <v>17</v>
      </c>
      <c r="U218" s="1" t="str">
        <f t="shared" si="158"/>
        <v>fire</v>
      </c>
      <c r="V218" s="1" t="s">
        <v>8</v>
      </c>
      <c r="W218" t="s">
        <v>42</v>
      </c>
      <c r="X218" s="1" t="s">
        <v>9</v>
      </c>
      <c r="Z218" s="12" t="str">
        <f t="shared" si="159"/>
        <v/>
      </c>
      <c r="AA218" t="str">
        <f t="shared" si="149"/>
        <v>Ninetales</v>
      </c>
      <c r="AB218"/>
      <c r="AC218" t="s">
        <v>481</v>
      </c>
      <c r="AD218" s="8" t="str">
        <f>VLOOKUP(AC218,moves!A:B,2,FALSE)</f>
        <v>fire</v>
      </c>
      <c r="AE218" s="8">
        <f>VLOOKUP(AC218,moves!A:D,4,FALSE)</f>
        <v>5</v>
      </c>
      <c r="AF218" s="8" t="str">
        <f>VLOOKUP(AC218,moves!A:E,5,FALSE)</f>
        <v>If 2+ status symbols are rolled: Inflict the Burned status on the target.</v>
      </c>
      <c r="AG218" s="6">
        <v>0</v>
      </c>
      <c r="AH218" s="6">
        <v>0</v>
      </c>
      <c r="AI218" s="8" t="str" cm="1">
        <f t="array" ref="AI218">_xlfn.IFS(AG218=1, "starter", AH218=1, "legendary",T218&lt; 13, "weak",T218&lt; 17, "moderate", TRUE, "strong")</f>
        <v>strong</v>
      </c>
      <c r="AK218">
        <v>2</v>
      </c>
      <c r="AL218" s="8">
        <v>0</v>
      </c>
      <c r="AM218" s="8">
        <v>0</v>
      </c>
    </row>
    <row r="219" spans="1:39" x14ac:dyDescent="0.25">
      <c r="A219" s="9">
        <v>74</v>
      </c>
      <c r="B219" t="s">
        <v>32</v>
      </c>
      <c r="C219" t="s">
        <v>33</v>
      </c>
      <c r="D219" t="s">
        <v>13</v>
      </c>
      <c r="E219">
        <v>40</v>
      </c>
      <c r="F219">
        <v>80</v>
      </c>
      <c r="G219">
        <v>100</v>
      </c>
      <c r="H219">
        <v>30</v>
      </c>
      <c r="I219">
        <v>30</v>
      </c>
      <c r="J219">
        <v>20</v>
      </c>
      <c r="K219" t="s">
        <v>260</v>
      </c>
      <c r="L219" s="2" t="s">
        <v>304</v>
      </c>
      <c r="M219" t="s">
        <v>300</v>
      </c>
      <c r="N219" s="9">
        <f t="shared" si="160"/>
        <v>5.0999999999999996</v>
      </c>
      <c r="O219" s="9">
        <f t="shared" si="161"/>
        <v>5.5</v>
      </c>
      <c r="P219" s="9">
        <v>0</v>
      </c>
      <c r="Q219" s="9">
        <v>0</v>
      </c>
      <c r="R219" s="12">
        <f t="shared" si="162"/>
        <v>5</v>
      </c>
      <c r="S219" s="12">
        <f t="shared" si="163"/>
        <v>6</v>
      </c>
      <c r="T219" s="12">
        <f t="shared" si="164"/>
        <v>11</v>
      </c>
      <c r="U219" s="1" t="str">
        <f t="shared" si="158"/>
        <v>rock</v>
      </c>
      <c r="V219" s="1" t="str">
        <f>IF(D219 = 0, "", D219)</f>
        <v>ground</v>
      </c>
      <c r="W219" t="s">
        <v>8</v>
      </c>
      <c r="X219" s="1" t="s">
        <v>4</v>
      </c>
      <c r="Y219" s="1" t="str">
        <f>B220</f>
        <v>Graveler</v>
      </c>
      <c r="Z219" s="12">
        <f t="shared" si="159"/>
        <v>3</v>
      </c>
      <c r="AA219" t="str">
        <f t="shared" si="149"/>
        <v>Geodude</v>
      </c>
      <c r="AB219"/>
      <c r="AC219" t="s">
        <v>661</v>
      </c>
      <c r="AD219" s="8" t="str">
        <f>VLOOKUP(AC219,moves!A:B,2,FALSE)</f>
        <v>rock</v>
      </c>
      <c r="AE219" s="8">
        <f>VLOOKUP(AC219,moves!A:D,4,FALSE)</f>
        <v>2</v>
      </c>
      <c r="AF219" s="8" t="str">
        <f>VLOOKUP(AC219,moves!A:E,5,FALSE)</f>
        <v>When the target is next attacked, Ground-type and Fighting-type moves deal double damage.</v>
      </c>
      <c r="AG219" s="6">
        <v>0</v>
      </c>
      <c r="AH219" s="6">
        <v>0</v>
      </c>
      <c r="AI219" s="8" t="str" cm="1">
        <f t="array" ref="AI219">_xlfn.IFS(AG219=1, "starter", AH219=1, "legendary",T219&lt; 13, "weak",T219&lt; 17, "moderate", TRUE, "strong")</f>
        <v>weak</v>
      </c>
      <c r="AK219">
        <v>1</v>
      </c>
      <c r="AL219" s="8">
        <v>0</v>
      </c>
      <c r="AM219" s="8">
        <v>0</v>
      </c>
    </row>
    <row r="220" spans="1:39" x14ac:dyDescent="0.25">
      <c r="A220" s="9">
        <v>75</v>
      </c>
      <c r="B220" t="s">
        <v>34</v>
      </c>
      <c r="C220" t="s">
        <v>33</v>
      </c>
      <c r="D220" t="s">
        <v>13</v>
      </c>
      <c r="E220">
        <v>55</v>
      </c>
      <c r="F220">
        <v>95</v>
      </c>
      <c r="G220">
        <v>115</v>
      </c>
      <c r="H220">
        <v>45</v>
      </c>
      <c r="I220">
        <v>45</v>
      </c>
      <c r="J220">
        <v>35</v>
      </c>
      <c r="K220" t="s">
        <v>260</v>
      </c>
      <c r="L220" s="2" t="s">
        <v>304</v>
      </c>
      <c r="M220" t="s">
        <v>300</v>
      </c>
      <c r="N220" s="9">
        <f t="shared" si="160"/>
        <v>6.6</v>
      </c>
      <c r="O220" s="9">
        <f t="shared" si="161"/>
        <v>7</v>
      </c>
      <c r="P220" s="9">
        <v>0</v>
      </c>
      <c r="Q220" s="9">
        <v>0</v>
      </c>
      <c r="R220" s="12">
        <f t="shared" si="162"/>
        <v>7</v>
      </c>
      <c r="S220" s="12">
        <f t="shared" si="163"/>
        <v>7</v>
      </c>
      <c r="T220" s="12">
        <f t="shared" si="164"/>
        <v>14</v>
      </c>
      <c r="U220" s="1" t="str">
        <f t="shared" si="158"/>
        <v>rock</v>
      </c>
      <c r="V220" s="1" t="str">
        <f>IF(D220 = 0, "", D220)</f>
        <v>ground</v>
      </c>
      <c r="W220" t="s">
        <v>8</v>
      </c>
      <c r="X220" s="1" t="s">
        <v>4</v>
      </c>
      <c r="Y220" s="1" t="str">
        <f>B221</f>
        <v>Golem</v>
      </c>
      <c r="Z220" s="12">
        <f t="shared" si="159"/>
        <v>5</v>
      </c>
      <c r="AA220" t="str">
        <f t="shared" si="149"/>
        <v>Graveler</v>
      </c>
      <c r="AB220"/>
      <c r="AC220" t="s">
        <v>596</v>
      </c>
      <c r="AD220" s="8" t="str">
        <f>VLOOKUP(AC220,moves!A:B,2,FALSE)</f>
        <v>ground</v>
      </c>
      <c r="AE220" s="8">
        <f>VLOOKUP(AC220,moves!A:D,4,FALSE)</f>
        <v>3</v>
      </c>
      <c r="AF220" s="8" t="str">
        <f>VLOOKUP(AC220,moves!A:E,5,FALSE)</f>
        <v>When the user next attacks, add a status symbol to the roll.</v>
      </c>
      <c r="AG220" s="6">
        <v>0</v>
      </c>
      <c r="AH220" s="6">
        <v>0</v>
      </c>
      <c r="AI220" s="8" t="str" cm="1">
        <f t="array" ref="AI220">_xlfn.IFS(AG220=1, "starter", AH220=1, "legendary",T220&lt; 13, "weak",T220&lt; 17, "moderate", TRUE, "strong")</f>
        <v>moderate</v>
      </c>
      <c r="AK220">
        <v>2</v>
      </c>
      <c r="AL220" s="8">
        <v>0</v>
      </c>
      <c r="AM220" s="8">
        <v>0</v>
      </c>
    </row>
    <row r="221" spans="1:39" x14ac:dyDescent="0.25">
      <c r="A221" s="9">
        <v>76</v>
      </c>
      <c r="B221" t="s">
        <v>35</v>
      </c>
      <c r="C221" t="s">
        <v>33</v>
      </c>
      <c r="D221" t="s">
        <v>13</v>
      </c>
      <c r="E221">
        <v>80</v>
      </c>
      <c r="F221">
        <v>120</v>
      </c>
      <c r="G221">
        <v>130</v>
      </c>
      <c r="H221">
        <v>55</v>
      </c>
      <c r="I221">
        <v>65</v>
      </c>
      <c r="J221">
        <v>45</v>
      </c>
      <c r="K221" t="s">
        <v>261</v>
      </c>
      <c r="L221" s="2" t="s">
        <v>304</v>
      </c>
      <c r="M221" t="s">
        <v>300</v>
      </c>
      <c r="N221" s="9">
        <f t="shared" si="160"/>
        <v>8.35</v>
      </c>
      <c r="O221" s="9">
        <f t="shared" si="161"/>
        <v>9.0500000000000007</v>
      </c>
      <c r="P221" s="9">
        <v>0</v>
      </c>
      <c r="Q221" s="9">
        <v>0</v>
      </c>
      <c r="R221" s="12">
        <f t="shared" si="162"/>
        <v>8</v>
      </c>
      <c r="S221" s="12">
        <f t="shared" si="163"/>
        <v>9</v>
      </c>
      <c r="T221" s="12">
        <f t="shared" si="164"/>
        <v>17</v>
      </c>
      <c r="U221" s="1" t="str">
        <f t="shared" si="158"/>
        <v>rock</v>
      </c>
      <c r="V221" s="1" t="str">
        <f>IF(D221 = 0, "", D221)</f>
        <v>ground</v>
      </c>
      <c r="W221" t="s">
        <v>8</v>
      </c>
      <c r="X221" s="1" t="s">
        <v>4</v>
      </c>
      <c r="Z221" s="12" t="str">
        <f t="shared" si="159"/>
        <v/>
      </c>
      <c r="AA221" t="str">
        <f t="shared" si="149"/>
        <v>Golem</v>
      </c>
      <c r="AB221"/>
      <c r="AC221" t="s">
        <v>520</v>
      </c>
      <c r="AD221" s="8" t="str">
        <f>VLOOKUP(AC221,moves!A:B,2,FALSE)</f>
        <v>normal</v>
      </c>
      <c r="AE221" s="8">
        <f>VLOOKUP(AC221,moves!A:D,4,FALSE)</f>
        <v>6</v>
      </c>
      <c r="AF221" s="8" t="str">
        <f>VLOOKUP(AC221,moves!A:E,5,FALSE)</f>
        <v>Critical hits deal +2 damage but for each critical hit rolled: The user takes 3 damage.</v>
      </c>
      <c r="AG221" s="6">
        <v>0</v>
      </c>
      <c r="AH221" s="6">
        <v>0</v>
      </c>
      <c r="AI221" s="8" t="str" cm="1">
        <f t="array" ref="AI221">_xlfn.IFS(AG221=1, "starter", AH221=1, "legendary",T221&lt; 13, "weak",T221&lt; 17, "moderate", TRUE, "strong")</f>
        <v>strong</v>
      </c>
      <c r="AK221">
        <v>3</v>
      </c>
      <c r="AL221" s="8">
        <v>0</v>
      </c>
      <c r="AM221" s="8">
        <v>0</v>
      </c>
    </row>
    <row r="222" spans="1:39" x14ac:dyDescent="0.25">
      <c r="A222" s="9">
        <v>265</v>
      </c>
      <c r="B222" t="s">
        <v>111</v>
      </c>
      <c r="C222" t="s">
        <v>7</v>
      </c>
      <c r="D222"/>
      <c r="E222">
        <v>45</v>
      </c>
      <c r="F222">
        <v>45</v>
      </c>
      <c r="G222">
        <v>35</v>
      </c>
      <c r="H222">
        <v>20</v>
      </c>
      <c r="I222">
        <v>30</v>
      </c>
      <c r="J222">
        <v>20</v>
      </c>
      <c r="K222" t="s">
        <v>248</v>
      </c>
      <c r="L222" t="s">
        <v>298</v>
      </c>
      <c r="M222" t="s">
        <v>299</v>
      </c>
      <c r="N222" s="9">
        <f t="shared" si="160"/>
        <v>3.25</v>
      </c>
      <c r="O222" s="9">
        <f t="shared" si="161"/>
        <v>3.75</v>
      </c>
      <c r="P222" s="9">
        <v>0</v>
      </c>
      <c r="Q222" s="9">
        <v>0</v>
      </c>
      <c r="R222" s="12">
        <f t="shared" si="162"/>
        <v>3</v>
      </c>
      <c r="S222" s="12">
        <f t="shared" si="163"/>
        <v>4</v>
      </c>
      <c r="T222" s="12">
        <f t="shared" si="164"/>
        <v>7</v>
      </c>
      <c r="U222" s="1" t="str">
        <f t="shared" si="158"/>
        <v>bug</v>
      </c>
      <c r="V222" s="1" t="s">
        <v>3</v>
      </c>
      <c r="W222" t="s">
        <v>8</v>
      </c>
      <c r="X222" s="9" t="s">
        <v>39</v>
      </c>
      <c r="Y222" t="s">
        <v>547</v>
      </c>
      <c r="Z222" s="12">
        <f t="shared" si="159"/>
        <v>2</v>
      </c>
      <c r="AA222" t="str">
        <f t="shared" si="149"/>
        <v>Wurmple</v>
      </c>
      <c r="AB222"/>
      <c r="AC222" t="s">
        <v>517</v>
      </c>
      <c r="AD222" s="8" t="str">
        <f>VLOOKUP(AC222,moves!A:B,2,FALSE)</f>
        <v>bug</v>
      </c>
      <c r="AE222" s="8">
        <f>VLOOKUP(AC222,moves!A:D,4,FALSE)</f>
        <v>3</v>
      </c>
      <c r="AF222" s="8" t="str">
        <f>VLOOKUP(AC222,moves!A:E,5,FALSE)</f>
        <v>Consume an Apricorn from the bag of target. The target decides which one.</v>
      </c>
      <c r="AG222" s="6">
        <v>0</v>
      </c>
      <c r="AH222" s="6">
        <v>0</v>
      </c>
      <c r="AI222" s="8" t="str" cm="1">
        <f t="array" ref="AI222">_xlfn.IFS(AG222=1, "starter", AH222=1, "legendary",T222&lt; 13, "weak",T222&lt; 17, "moderate", TRUE, "strong")</f>
        <v>weak</v>
      </c>
      <c r="AK222">
        <v>1</v>
      </c>
      <c r="AL222" s="8">
        <v>0</v>
      </c>
      <c r="AM222" s="8">
        <v>0</v>
      </c>
    </row>
    <row r="223" spans="1:39" x14ac:dyDescent="0.25">
      <c r="A223" s="9">
        <v>266</v>
      </c>
      <c r="B223" t="s">
        <v>112</v>
      </c>
      <c r="C223" t="s">
        <v>7</v>
      </c>
      <c r="D223"/>
      <c r="E223">
        <v>50</v>
      </c>
      <c r="F223">
        <v>35</v>
      </c>
      <c r="G223">
        <v>55</v>
      </c>
      <c r="H223">
        <v>25</v>
      </c>
      <c r="I223">
        <v>25</v>
      </c>
      <c r="J223">
        <v>15</v>
      </c>
      <c r="K223" t="s">
        <v>249</v>
      </c>
      <c r="L223" t="s">
        <v>298</v>
      </c>
      <c r="M223" t="s">
        <v>299</v>
      </c>
      <c r="N223" s="9">
        <f t="shared" si="160"/>
        <v>2.6</v>
      </c>
      <c r="O223" s="9">
        <f t="shared" si="161"/>
        <v>4.4000000000000004</v>
      </c>
      <c r="P223" s="9">
        <v>-1</v>
      </c>
      <c r="Q223" s="9">
        <v>4</v>
      </c>
      <c r="R223" s="12">
        <f t="shared" si="162"/>
        <v>2</v>
      </c>
      <c r="S223" s="12">
        <f t="shared" si="163"/>
        <v>8</v>
      </c>
      <c r="T223" s="12">
        <f t="shared" si="164"/>
        <v>10</v>
      </c>
      <c r="U223" s="1" t="str">
        <f t="shared" si="158"/>
        <v>bug</v>
      </c>
      <c r="V223" s="9" t="s">
        <v>3</v>
      </c>
      <c r="W223" s="8" t="s">
        <v>8</v>
      </c>
      <c r="X223" s="1" t="s">
        <v>39</v>
      </c>
      <c r="Y223" s="1" t="str">
        <f>B224</f>
        <v>Beautifly</v>
      </c>
      <c r="Z223" s="12">
        <f t="shared" si="159"/>
        <v>3</v>
      </c>
      <c r="AA223" t="str">
        <f t="shared" si="149"/>
        <v>Silcoon</v>
      </c>
      <c r="AB223"/>
      <c r="AC223" t="s">
        <v>952</v>
      </c>
      <c r="AD223" s="8" t="str">
        <f>VLOOKUP(AC223,moves!A:B,2,FALSE)</f>
        <v>poison</v>
      </c>
      <c r="AE223" s="8">
        <f>VLOOKUP(AC223,moves!A:D,4,FALSE)</f>
        <v>1</v>
      </c>
      <c r="AF223" s="8" t="str">
        <f>VLOOKUP(AC223,moves!A:E,5,FALSE)</f>
        <v>Inflict the Poisoned status on the target. When the user is next attacked, remove 2 regular hits from the roll.</v>
      </c>
      <c r="AG223" s="6">
        <v>0</v>
      </c>
      <c r="AH223" s="6">
        <v>0</v>
      </c>
      <c r="AI223" s="8" t="str" cm="1">
        <f t="array" ref="AI223">_xlfn.IFS(AG223=1, "starter", AH223=1, "legendary",T223&lt; 13, "weak",T223&lt; 17, "moderate", TRUE, "strong")</f>
        <v>weak</v>
      </c>
      <c r="AK223">
        <v>2</v>
      </c>
      <c r="AL223" s="8">
        <v>0</v>
      </c>
      <c r="AM223" s="8">
        <v>0</v>
      </c>
    </row>
    <row r="224" spans="1:39" x14ac:dyDescent="0.25">
      <c r="A224" s="9">
        <v>267</v>
      </c>
      <c r="B224" t="s">
        <v>113</v>
      </c>
      <c r="C224" t="s">
        <v>7</v>
      </c>
      <c r="D224" t="s">
        <v>5</v>
      </c>
      <c r="E224">
        <v>60</v>
      </c>
      <c r="F224">
        <v>70</v>
      </c>
      <c r="G224">
        <v>50</v>
      </c>
      <c r="H224">
        <v>100</v>
      </c>
      <c r="I224">
        <v>50</v>
      </c>
      <c r="J224">
        <v>65</v>
      </c>
      <c r="K224" t="s">
        <v>250</v>
      </c>
      <c r="L224" t="s">
        <v>298</v>
      </c>
      <c r="M224" t="s">
        <v>299</v>
      </c>
      <c r="N224" s="9">
        <f t="shared" si="160"/>
        <v>8.3000000000000007</v>
      </c>
      <c r="O224" s="9">
        <f t="shared" si="161"/>
        <v>5.4</v>
      </c>
      <c r="P224" s="9">
        <v>0</v>
      </c>
      <c r="Q224" s="9">
        <v>0</v>
      </c>
      <c r="R224" s="12">
        <f t="shared" si="162"/>
        <v>8</v>
      </c>
      <c r="S224" s="12">
        <f t="shared" si="163"/>
        <v>5</v>
      </c>
      <c r="T224" s="12">
        <f t="shared" si="164"/>
        <v>13</v>
      </c>
      <c r="U224" s="1" t="str">
        <f t="shared" si="158"/>
        <v>bug</v>
      </c>
      <c r="V224" s="1" t="str">
        <f>IF(D224 = 0, "", D224)</f>
        <v>flying</v>
      </c>
      <c r="W224" t="s">
        <v>3</v>
      </c>
      <c r="X224" s="1" t="s">
        <v>2</v>
      </c>
      <c r="Z224" s="12" t="str">
        <f t="shared" si="159"/>
        <v/>
      </c>
      <c r="AA224" t="str">
        <f t="shared" si="149"/>
        <v>Beautifly</v>
      </c>
      <c r="AB224"/>
      <c r="AC224" t="s">
        <v>490</v>
      </c>
      <c r="AD224" s="8" t="str">
        <f>VLOOKUP(AC224,moves!A:B,2,FALSE)</f>
        <v>grass</v>
      </c>
      <c r="AE224" s="8">
        <f>VLOOKUP(AC224,moves!A:D,4,FALSE)</f>
        <v>4</v>
      </c>
      <c r="AF224" s="8" t="str">
        <f>VLOOKUP(AC224,moves!A:E,5,FALSE)</f>
        <v>The user heals for half the damage dealt, rounded down.</v>
      </c>
      <c r="AG224" s="6">
        <v>0</v>
      </c>
      <c r="AH224" s="6">
        <v>0</v>
      </c>
      <c r="AI224" s="8" t="str" cm="1">
        <f t="array" ref="AI224">_xlfn.IFS(AG224=1, "starter", AH224=1, "legendary",T224&lt; 13, "weak",T224&lt; 17, "moderate", TRUE, "strong")</f>
        <v>moderate</v>
      </c>
      <c r="AK224">
        <v>3</v>
      </c>
      <c r="AL224" s="8">
        <v>0</v>
      </c>
      <c r="AM224" s="8">
        <v>0</v>
      </c>
    </row>
    <row r="225" spans="1:39" x14ac:dyDescent="0.25">
      <c r="A225" s="9">
        <v>268</v>
      </c>
      <c r="B225" t="s">
        <v>114</v>
      </c>
      <c r="C225" t="s">
        <v>7</v>
      </c>
      <c r="D225"/>
      <c r="E225">
        <v>50</v>
      </c>
      <c r="F225">
        <v>35</v>
      </c>
      <c r="G225">
        <v>55</v>
      </c>
      <c r="H225">
        <v>25</v>
      </c>
      <c r="I225">
        <v>25</v>
      </c>
      <c r="J225">
        <v>15</v>
      </c>
      <c r="K225" t="s">
        <v>249</v>
      </c>
      <c r="L225" t="s">
        <v>298</v>
      </c>
      <c r="M225" t="s">
        <v>299</v>
      </c>
      <c r="N225" s="9">
        <f t="shared" si="160"/>
        <v>2.6</v>
      </c>
      <c r="O225" s="9">
        <f t="shared" si="161"/>
        <v>4.4000000000000004</v>
      </c>
      <c r="P225" s="9">
        <v>-1</v>
      </c>
      <c r="Q225" s="9">
        <v>4</v>
      </c>
      <c r="R225" s="12">
        <f t="shared" si="162"/>
        <v>2</v>
      </c>
      <c r="S225" s="12">
        <f t="shared" si="163"/>
        <v>8</v>
      </c>
      <c r="T225" s="12">
        <f t="shared" si="164"/>
        <v>10</v>
      </c>
      <c r="U225" s="1" t="str">
        <f t="shared" si="158"/>
        <v>bug</v>
      </c>
      <c r="V225" s="9" t="s">
        <v>3</v>
      </c>
      <c r="W225" s="8" t="s">
        <v>8</v>
      </c>
      <c r="X225" s="9" t="s">
        <v>39</v>
      </c>
      <c r="Y225" s="1" t="str">
        <f>B226</f>
        <v>Dustox</v>
      </c>
      <c r="Z225" s="12">
        <f t="shared" si="159"/>
        <v>3</v>
      </c>
      <c r="AA225" t="str">
        <f t="shared" si="149"/>
        <v>Cascoon</v>
      </c>
      <c r="AB225"/>
      <c r="AC225" s="8" t="s">
        <v>952</v>
      </c>
      <c r="AD225" s="8" t="str">
        <f>VLOOKUP(AC225,moves!A:B,2,FALSE)</f>
        <v>poison</v>
      </c>
      <c r="AE225" s="8">
        <f>VLOOKUP(AC225,moves!A:D,4,FALSE)</f>
        <v>1</v>
      </c>
      <c r="AF225" s="8" t="str">
        <f>VLOOKUP(AC225,moves!A:E,5,FALSE)</f>
        <v>Inflict the Poisoned status on the target. When the user is next attacked, remove 2 regular hits from the roll.</v>
      </c>
      <c r="AG225" s="6">
        <v>0</v>
      </c>
      <c r="AH225" s="6">
        <v>0</v>
      </c>
      <c r="AI225" s="8" t="str" cm="1">
        <f t="array" ref="AI225">_xlfn.IFS(AG225=1, "starter", AH225=1, "legendary",T225&lt; 13, "weak",T225&lt; 17, "moderate", TRUE, "strong")</f>
        <v>weak</v>
      </c>
      <c r="AK225">
        <v>2</v>
      </c>
      <c r="AL225" s="8">
        <v>0</v>
      </c>
      <c r="AM225" s="8">
        <v>0</v>
      </c>
    </row>
    <row r="226" spans="1:39" x14ac:dyDescent="0.25">
      <c r="A226" s="9">
        <v>269</v>
      </c>
      <c r="B226" t="s">
        <v>115</v>
      </c>
      <c r="C226" t="s">
        <v>7</v>
      </c>
      <c r="D226" t="s">
        <v>3</v>
      </c>
      <c r="E226">
        <v>60</v>
      </c>
      <c r="F226">
        <v>50</v>
      </c>
      <c r="G226">
        <v>70</v>
      </c>
      <c r="H226">
        <v>50</v>
      </c>
      <c r="I226">
        <v>90</v>
      </c>
      <c r="J226">
        <v>65</v>
      </c>
      <c r="K226" t="s">
        <v>255</v>
      </c>
      <c r="L226" t="s">
        <v>298</v>
      </c>
      <c r="M226" t="s">
        <v>299</v>
      </c>
      <c r="N226" s="9">
        <f t="shared" si="160"/>
        <v>5.6</v>
      </c>
      <c r="O226" s="9">
        <f t="shared" si="161"/>
        <v>7.2</v>
      </c>
      <c r="P226" s="9">
        <v>0</v>
      </c>
      <c r="Q226" s="9">
        <v>0</v>
      </c>
      <c r="R226" s="12">
        <f t="shared" si="162"/>
        <v>6</v>
      </c>
      <c r="S226" s="12">
        <f t="shared" si="163"/>
        <v>7</v>
      </c>
      <c r="T226" s="12">
        <f t="shared" si="164"/>
        <v>13</v>
      </c>
      <c r="U226" s="1" t="str">
        <f t="shared" si="158"/>
        <v>bug</v>
      </c>
      <c r="V226" s="1" t="str">
        <f>IF(D226 = 0, "", D226)</f>
        <v>poison</v>
      </c>
      <c r="W226" t="s">
        <v>42</v>
      </c>
      <c r="X226" s="1" t="s">
        <v>26</v>
      </c>
      <c r="Z226" s="12" t="str">
        <f t="shared" si="159"/>
        <v/>
      </c>
      <c r="AA226" t="str">
        <f t="shared" si="149"/>
        <v>Dustox</v>
      </c>
      <c r="AB226"/>
      <c r="AC226" t="s">
        <v>615</v>
      </c>
      <c r="AD226" s="8" t="str">
        <f>VLOOKUP(AC226,moves!A:B,2,FALSE)</f>
        <v>bug</v>
      </c>
      <c r="AE226" s="8">
        <f>VLOOKUP(AC226,moves!A:D,4,FALSE)</f>
        <v>4</v>
      </c>
      <c r="AF226" s="8" t="str">
        <f>VLOOKUP(AC226,moves!A:E,5,FALSE)</f>
        <v>If a status symbol is rolled: Inflict the Paralysed status on the target.</v>
      </c>
      <c r="AG226" s="6">
        <v>0</v>
      </c>
      <c r="AH226" s="6">
        <v>0</v>
      </c>
      <c r="AI226" s="8" t="str" cm="1">
        <f t="array" ref="AI226">_xlfn.IFS(AG226=1, "starter", AH226=1, "legendary",T226&lt; 13, "weak",T226&lt; 17, "moderate", TRUE, "strong")</f>
        <v>moderate</v>
      </c>
      <c r="AK226">
        <v>3</v>
      </c>
      <c r="AL226" s="8">
        <v>0</v>
      </c>
      <c r="AM226" s="8">
        <v>0</v>
      </c>
    </row>
    <row r="227" spans="1:39" x14ac:dyDescent="0.25">
      <c r="A227" s="9">
        <v>333</v>
      </c>
      <c r="B227" t="s">
        <v>124</v>
      </c>
      <c r="C227" t="s">
        <v>8</v>
      </c>
      <c r="D227" t="s">
        <v>5</v>
      </c>
      <c r="E227">
        <v>45</v>
      </c>
      <c r="F227">
        <v>40</v>
      </c>
      <c r="G227">
        <v>60</v>
      </c>
      <c r="H227">
        <v>40</v>
      </c>
      <c r="I227">
        <v>75</v>
      </c>
      <c r="J227">
        <v>50</v>
      </c>
      <c r="K227" t="s">
        <v>293</v>
      </c>
      <c r="L227" t="s">
        <v>301</v>
      </c>
      <c r="M227" t="s">
        <v>300</v>
      </c>
      <c r="N227" s="9">
        <f t="shared" si="160"/>
        <v>4.4000000000000004</v>
      </c>
      <c r="O227" s="9">
        <f t="shared" si="161"/>
        <v>5.85</v>
      </c>
      <c r="P227" s="9">
        <v>0</v>
      </c>
      <c r="Q227" s="9">
        <v>0</v>
      </c>
      <c r="R227" s="12">
        <f t="shared" si="162"/>
        <v>4</v>
      </c>
      <c r="S227" s="12">
        <f t="shared" si="163"/>
        <v>6</v>
      </c>
      <c r="T227" s="12">
        <f t="shared" si="164"/>
        <v>10</v>
      </c>
      <c r="U227" t="s">
        <v>67</v>
      </c>
      <c r="V227" s="1" t="str">
        <f>IF(D227 = 0, "", D227)</f>
        <v>flying</v>
      </c>
      <c r="W227" t="s">
        <v>16</v>
      </c>
      <c r="X227" s="1" t="s">
        <v>8</v>
      </c>
      <c r="Y227" s="1" t="str">
        <f>B228</f>
        <v>Altaria</v>
      </c>
      <c r="Z227" s="12">
        <f t="shared" si="159"/>
        <v>6</v>
      </c>
      <c r="AA227" t="str">
        <f t="shared" si="149"/>
        <v>Swablu</v>
      </c>
      <c r="AB227"/>
      <c r="AC227" t="s">
        <v>548</v>
      </c>
      <c r="AD227" s="8" t="str">
        <f>VLOOKUP(AC227,moves!A:B,2,FALSE)</f>
        <v>normal</v>
      </c>
      <c r="AE227" s="8">
        <f>VLOOKUP(AC227,moves!A:D,4,FALSE)</f>
        <v>1</v>
      </c>
      <c r="AF227" s="8" t="str">
        <f>VLOOKUP(AC227,moves!A:E,5,FALSE)</f>
        <v>When the target is next attacked, add 2 critical hits to the roll.</v>
      </c>
      <c r="AG227" s="6">
        <v>0</v>
      </c>
      <c r="AH227" s="6">
        <v>0</v>
      </c>
      <c r="AI227" s="8" t="str" cm="1">
        <f t="array" ref="AI227">_xlfn.IFS(AG227=1, "starter", AH227=1, "legendary",T227&lt; 13, "weak",T227&lt; 17, "moderate", TRUE, "strong")</f>
        <v>weak</v>
      </c>
      <c r="AK227">
        <v>1</v>
      </c>
      <c r="AL227" s="8">
        <v>0</v>
      </c>
      <c r="AM227" s="8">
        <v>0</v>
      </c>
    </row>
    <row r="228" spans="1:39" x14ac:dyDescent="0.25">
      <c r="A228" s="9">
        <v>334</v>
      </c>
      <c r="B228" t="s">
        <v>125</v>
      </c>
      <c r="C228" t="s">
        <v>67</v>
      </c>
      <c r="D228" t="s">
        <v>5</v>
      </c>
      <c r="E228">
        <v>75</v>
      </c>
      <c r="F228">
        <v>70</v>
      </c>
      <c r="G228">
        <v>90</v>
      </c>
      <c r="H228">
        <v>70</v>
      </c>
      <c r="I228">
        <v>105</v>
      </c>
      <c r="J228">
        <v>80</v>
      </c>
      <c r="K228" t="s">
        <v>294</v>
      </c>
      <c r="L228" t="s">
        <v>301</v>
      </c>
      <c r="M228" t="s">
        <v>300</v>
      </c>
      <c r="N228" s="9">
        <f t="shared" si="160"/>
        <v>7.4</v>
      </c>
      <c r="O228" s="9">
        <f t="shared" si="161"/>
        <v>8.85</v>
      </c>
      <c r="P228" s="9">
        <v>0</v>
      </c>
      <c r="Q228" s="9">
        <v>0</v>
      </c>
      <c r="R228" s="12">
        <f t="shared" si="162"/>
        <v>7</v>
      </c>
      <c r="S228" s="12">
        <f t="shared" si="163"/>
        <v>9</v>
      </c>
      <c r="T228" s="12">
        <f t="shared" si="164"/>
        <v>16</v>
      </c>
      <c r="U228" t="s">
        <v>67</v>
      </c>
      <c r="V228" s="1" t="str">
        <f>IF(D228 = 0, "", D228)</f>
        <v>flying</v>
      </c>
      <c r="W228" t="s">
        <v>16</v>
      </c>
      <c r="X228" s="1" t="s">
        <v>8</v>
      </c>
      <c r="Z228" s="12" t="str">
        <f t="shared" si="159"/>
        <v/>
      </c>
      <c r="AA228" t="str">
        <f t="shared" si="149"/>
        <v>Altaria</v>
      </c>
      <c r="AB228"/>
      <c r="AC228" t="s">
        <v>580</v>
      </c>
      <c r="AD228" s="8" t="str">
        <f>VLOOKUP(AC228,moves!A:B,2,FALSE)</f>
        <v>flying</v>
      </c>
      <c r="AE228" s="8">
        <f>VLOOKUP(AC228,moves!A:D,4,FALSE)</f>
        <v>2</v>
      </c>
      <c r="AF228" s="8" t="str">
        <f>VLOOKUP(AC228,moves!A:E,5,FALSE)</f>
        <v>Critical hits deal +1 damage. If this move was used last turn, attack strength is increased to 6.</v>
      </c>
      <c r="AG228" s="6">
        <v>0</v>
      </c>
      <c r="AH228" s="6">
        <v>0</v>
      </c>
      <c r="AI228" s="8" t="str" cm="1">
        <f t="array" ref="AI228">_xlfn.IFS(AG228=1, "starter", AH228=1, "legendary",T228&lt; 13, "weak",T228&lt; 17, "moderate", TRUE, "strong")</f>
        <v>moderate</v>
      </c>
      <c r="AK228">
        <v>2</v>
      </c>
      <c r="AL228" s="8">
        <v>0</v>
      </c>
      <c r="AM228" s="8">
        <v>0</v>
      </c>
    </row>
    <row r="229" spans="1:39" x14ac:dyDescent="0.25">
      <c r="A229" s="9">
        <v>58</v>
      </c>
      <c r="B229" t="s">
        <v>23</v>
      </c>
      <c r="C229" t="s">
        <v>4</v>
      </c>
      <c r="D229"/>
      <c r="E229">
        <v>55</v>
      </c>
      <c r="F229">
        <v>70</v>
      </c>
      <c r="G229">
        <v>45</v>
      </c>
      <c r="H229">
        <v>70</v>
      </c>
      <c r="I229">
        <v>50</v>
      </c>
      <c r="J229">
        <v>60</v>
      </c>
      <c r="K229" t="s">
        <v>256</v>
      </c>
      <c r="L229" t="s">
        <v>301</v>
      </c>
      <c r="M229" t="s">
        <v>299</v>
      </c>
      <c r="N229" s="9">
        <f t="shared" si="160"/>
        <v>6.6</v>
      </c>
      <c r="O229" s="9">
        <f t="shared" si="161"/>
        <v>5.05</v>
      </c>
      <c r="P229" s="9">
        <v>0</v>
      </c>
      <c r="Q229" s="9">
        <v>0</v>
      </c>
      <c r="R229" s="12">
        <f t="shared" si="162"/>
        <v>7</v>
      </c>
      <c r="S229" s="12">
        <f t="shared" si="163"/>
        <v>5</v>
      </c>
      <c r="T229" s="12">
        <f t="shared" si="164"/>
        <v>12</v>
      </c>
      <c r="U229" s="1" t="str">
        <f t="shared" ref="U229:U260" si="165">C229</f>
        <v>fire</v>
      </c>
      <c r="V229" s="8" t="s">
        <v>8</v>
      </c>
      <c r="W229" t="s">
        <v>9</v>
      </c>
      <c r="X229" s="1" t="s">
        <v>13</v>
      </c>
      <c r="Y229" s="1" t="str">
        <f>B230</f>
        <v>Arcanine</v>
      </c>
      <c r="Z229" s="12">
        <f t="shared" si="159"/>
        <v>8</v>
      </c>
      <c r="AA229" t="str">
        <f t="shared" si="149"/>
        <v>Growlithe</v>
      </c>
      <c r="AB229"/>
      <c r="AC229" t="s">
        <v>709</v>
      </c>
      <c r="AD229" s="8" t="str">
        <f>VLOOKUP(AC229,moves!A:B,2,FALSE)</f>
        <v>fire</v>
      </c>
      <c r="AE229" s="8">
        <f>VLOOKUP(AC229,moves!A:D,4,FALSE)</f>
        <v>3</v>
      </c>
      <c r="AF229" s="8" t="str">
        <f>VLOOKUP(AC229,moves!A:E,5,FALSE)</f>
        <v>If a status symbol is rolled: Inflict the Burned status on the target.</v>
      </c>
      <c r="AG229" s="6">
        <v>0</v>
      </c>
      <c r="AH229" s="6">
        <v>0</v>
      </c>
      <c r="AI229" s="8" t="str" cm="1">
        <f t="array" ref="AI229">_xlfn.IFS(AG229=1, "starter", AH229=1, "legendary",T229&lt; 13, "weak",T229&lt; 17, "moderate", TRUE, "strong")</f>
        <v>weak</v>
      </c>
      <c r="AK229">
        <v>1</v>
      </c>
      <c r="AL229" s="8">
        <v>0</v>
      </c>
      <c r="AM229" s="8">
        <v>0</v>
      </c>
    </row>
    <row r="230" spans="1:39" x14ac:dyDescent="0.25">
      <c r="A230" s="9">
        <v>59</v>
      </c>
      <c r="B230" t="s">
        <v>24</v>
      </c>
      <c r="C230" t="s">
        <v>4</v>
      </c>
      <c r="D230"/>
      <c r="E230">
        <v>90</v>
      </c>
      <c r="F230">
        <v>110</v>
      </c>
      <c r="G230">
        <v>80</v>
      </c>
      <c r="H230">
        <v>100</v>
      </c>
      <c r="I230">
        <v>80</v>
      </c>
      <c r="J230">
        <v>95</v>
      </c>
      <c r="K230" t="s">
        <v>257</v>
      </c>
      <c r="L230" t="s">
        <v>301</v>
      </c>
      <c r="M230" t="s">
        <v>299</v>
      </c>
      <c r="N230" s="9">
        <f t="shared" si="160"/>
        <v>10.3</v>
      </c>
      <c r="O230" s="9">
        <f t="shared" si="161"/>
        <v>8.4</v>
      </c>
      <c r="P230" s="9">
        <v>0</v>
      </c>
      <c r="Q230" s="9">
        <v>0</v>
      </c>
      <c r="R230" s="12">
        <f t="shared" si="162"/>
        <v>10</v>
      </c>
      <c r="S230" s="12">
        <f t="shared" si="163"/>
        <v>8</v>
      </c>
      <c r="T230" s="12">
        <f t="shared" si="164"/>
        <v>18</v>
      </c>
      <c r="U230" s="1" t="str">
        <f t="shared" si="165"/>
        <v>fire</v>
      </c>
      <c r="V230" s="8" t="s">
        <v>8</v>
      </c>
      <c r="W230" s="8" t="s">
        <v>9</v>
      </c>
      <c r="X230" s="1" t="s">
        <v>13</v>
      </c>
      <c r="Z230" s="12" t="str">
        <f t="shared" si="159"/>
        <v/>
      </c>
      <c r="AA230" t="str">
        <f t="shared" si="149"/>
        <v>Arcanine</v>
      </c>
      <c r="AB230"/>
      <c r="AC230" t="s">
        <v>970</v>
      </c>
      <c r="AD230" s="8" t="str">
        <f>VLOOKUP(AC230,moves!A:B,2,FALSE)</f>
        <v>normal</v>
      </c>
      <c r="AE230" s="8">
        <f>VLOOKUP(AC230,moves!A:D,4,FALSE)</f>
        <v>4</v>
      </c>
      <c r="AF230" s="8" t="str">
        <f>VLOOKUP(AC230,moves!A:E,5,FALSE)</f>
        <v>Until the user switches out: Increase the initiative of the user by 3.</v>
      </c>
      <c r="AG230" s="6">
        <v>0</v>
      </c>
      <c r="AH230" s="6">
        <v>0</v>
      </c>
      <c r="AI230" s="8" t="str" cm="1">
        <f t="array" ref="AI230">_xlfn.IFS(AG230=1, "starter", AH230=1, "legendary",T230&lt; 13, "weak",T230&lt; 17, "moderate", TRUE, "strong")</f>
        <v>strong</v>
      </c>
      <c r="AK230">
        <v>2</v>
      </c>
      <c r="AL230" s="8">
        <v>0</v>
      </c>
      <c r="AM230" s="8">
        <v>0</v>
      </c>
    </row>
    <row r="231" spans="1:39" x14ac:dyDescent="0.25">
      <c r="A231" s="9">
        <v>216</v>
      </c>
      <c r="B231" t="s">
        <v>91</v>
      </c>
      <c r="C231" t="s">
        <v>8</v>
      </c>
      <c r="D231"/>
      <c r="E231">
        <v>60</v>
      </c>
      <c r="F231">
        <v>80</v>
      </c>
      <c r="G231">
        <v>50</v>
      </c>
      <c r="H231">
        <v>50</v>
      </c>
      <c r="I231">
        <v>50</v>
      </c>
      <c r="J231">
        <v>40</v>
      </c>
      <c r="K231" t="s">
        <v>280</v>
      </c>
      <c r="L231" t="s">
        <v>298</v>
      </c>
      <c r="M231" t="s">
        <v>300</v>
      </c>
      <c r="N231" s="9">
        <f t="shared" si="160"/>
        <v>6.1</v>
      </c>
      <c r="O231" s="9">
        <f t="shared" si="161"/>
        <v>5.4</v>
      </c>
      <c r="P231" s="9">
        <v>0</v>
      </c>
      <c r="Q231" s="9">
        <v>0</v>
      </c>
      <c r="R231" s="12">
        <f t="shared" si="162"/>
        <v>6</v>
      </c>
      <c r="S231" s="12">
        <f t="shared" si="163"/>
        <v>5</v>
      </c>
      <c r="T231" s="12">
        <f t="shared" si="164"/>
        <v>11</v>
      </c>
      <c r="U231" s="1" t="str">
        <f t="shared" si="165"/>
        <v>normal</v>
      </c>
      <c r="V231" s="1" t="s">
        <v>16</v>
      </c>
      <c r="W231" t="s">
        <v>22</v>
      </c>
      <c r="X231" s="1" t="s">
        <v>9</v>
      </c>
      <c r="Y231" s="1" t="str">
        <f>B232</f>
        <v>Ursaring</v>
      </c>
      <c r="Z231" s="12">
        <f t="shared" si="159"/>
        <v>7</v>
      </c>
      <c r="AA231" t="str">
        <f t="shared" si="149"/>
        <v>Teddiursa</v>
      </c>
      <c r="AB231"/>
      <c r="AC231" t="s">
        <v>511</v>
      </c>
      <c r="AD231" s="8" t="str">
        <f>VLOOKUP(AC231,moves!A:B,2,FALSE)</f>
        <v>fairy</v>
      </c>
      <c r="AE231" s="8">
        <f>VLOOKUP(AC231,moves!A:D,4,FALSE)</f>
        <v>3</v>
      </c>
      <c r="AF231" s="8" t="str">
        <f>VLOOKUP(AC231,moves!A:E,5,FALSE)</f>
        <v>When the target next attacks, remove a regular hit from the roll.</v>
      </c>
      <c r="AG231" s="6">
        <v>0</v>
      </c>
      <c r="AH231" s="6">
        <v>0</v>
      </c>
      <c r="AI231" s="8" t="str" cm="1">
        <f t="array" ref="AI231">_xlfn.IFS(AG231=1, "starter", AH231=1, "legendary",T231&lt; 13, "weak",T231&lt; 17, "moderate", TRUE, "strong")</f>
        <v>weak</v>
      </c>
      <c r="AK231">
        <v>1</v>
      </c>
      <c r="AL231" s="8">
        <v>0</v>
      </c>
      <c r="AM231" s="8">
        <v>0</v>
      </c>
    </row>
    <row r="232" spans="1:39" x14ac:dyDescent="0.25">
      <c r="A232" s="9">
        <v>217</v>
      </c>
      <c r="B232" t="s">
        <v>92</v>
      </c>
      <c r="C232" t="s">
        <v>8</v>
      </c>
      <c r="D232"/>
      <c r="E232">
        <v>90</v>
      </c>
      <c r="F232">
        <v>130</v>
      </c>
      <c r="G232">
        <v>75</v>
      </c>
      <c r="H232">
        <v>75</v>
      </c>
      <c r="I232">
        <v>75</v>
      </c>
      <c r="J232">
        <v>55</v>
      </c>
      <c r="K232" t="s">
        <v>281</v>
      </c>
      <c r="L232" t="s">
        <v>298</v>
      </c>
      <c r="M232" t="s">
        <v>300</v>
      </c>
      <c r="N232" s="9">
        <f t="shared" si="160"/>
        <v>9.4499999999999993</v>
      </c>
      <c r="O232" s="9">
        <f t="shared" si="161"/>
        <v>8.1</v>
      </c>
      <c r="P232" s="9">
        <v>0</v>
      </c>
      <c r="Q232" s="9">
        <v>0</v>
      </c>
      <c r="R232" s="12">
        <f t="shared" si="162"/>
        <v>9</v>
      </c>
      <c r="S232" s="12">
        <f t="shared" si="163"/>
        <v>8</v>
      </c>
      <c r="T232" s="12">
        <f t="shared" si="164"/>
        <v>17</v>
      </c>
      <c r="U232" s="1" t="str">
        <f t="shared" si="165"/>
        <v>normal</v>
      </c>
      <c r="V232" s="1" t="s">
        <v>16</v>
      </c>
      <c r="W232" t="s">
        <v>22</v>
      </c>
      <c r="X232" s="1" t="s">
        <v>9</v>
      </c>
      <c r="Z232" s="12" t="str">
        <f t="shared" si="159"/>
        <v/>
      </c>
      <c r="AA232" t="str">
        <f t="shared" si="149"/>
        <v>Ursaring</v>
      </c>
      <c r="AB232"/>
      <c r="AC232" t="s">
        <v>576</v>
      </c>
      <c r="AD232" s="8" t="str">
        <f>VLOOKUP(AC232,moves!A:B,2,FALSE)</f>
        <v>normal</v>
      </c>
      <c r="AE232" s="8">
        <f>VLOOKUP(AC232,moves!A:D,4,FALSE)</f>
        <v>5</v>
      </c>
      <c r="AF232" s="8" t="str">
        <f>VLOOKUP(AC232,moves!A:E,5,FALSE)</f>
        <v>If this move was used last turn, attack strength is increased to 6 but inflict the Confused status on the user.</v>
      </c>
      <c r="AG232" s="6">
        <v>0</v>
      </c>
      <c r="AH232" s="6">
        <v>0</v>
      </c>
      <c r="AI232" s="8" t="str" cm="1">
        <f t="array" ref="AI232">_xlfn.IFS(AG232=1, "starter", AH232=1, "legendary",T232&lt; 13, "weak",T232&lt; 17, "moderate", TRUE, "strong")</f>
        <v>strong</v>
      </c>
      <c r="AK232">
        <v>2</v>
      </c>
      <c r="AL232" s="8">
        <v>0</v>
      </c>
      <c r="AM232" s="8">
        <v>0</v>
      </c>
    </row>
    <row r="233" spans="1:39" x14ac:dyDescent="0.25">
      <c r="A233" s="9">
        <v>234</v>
      </c>
      <c r="B233" t="s">
        <v>101</v>
      </c>
      <c r="C233" t="s">
        <v>8</v>
      </c>
      <c r="D233"/>
      <c r="E233">
        <v>73</v>
      </c>
      <c r="F233">
        <v>95</v>
      </c>
      <c r="G233">
        <v>62</v>
      </c>
      <c r="H233">
        <v>85</v>
      </c>
      <c r="I233">
        <v>65</v>
      </c>
      <c r="J233">
        <v>85</v>
      </c>
      <c r="K233" t="s">
        <v>285</v>
      </c>
      <c r="L233" t="s">
        <v>301</v>
      </c>
      <c r="M233" t="s">
        <v>299</v>
      </c>
      <c r="N233" s="9">
        <f t="shared" si="160"/>
        <v>9</v>
      </c>
      <c r="O233" s="9">
        <f t="shared" si="161"/>
        <v>6.7299999999999995</v>
      </c>
      <c r="P233" s="9">
        <v>0</v>
      </c>
      <c r="Q233" s="9">
        <v>0</v>
      </c>
      <c r="R233" s="12">
        <f t="shared" si="162"/>
        <v>9</v>
      </c>
      <c r="S233" s="12">
        <f t="shared" si="163"/>
        <v>7</v>
      </c>
      <c r="T233" s="12">
        <f t="shared" si="164"/>
        <v>16</v>
      </c>
      <c r="U233" s="1" t="str">
        <f t="shared" si="165"/>
        <v>normal</v>
      </c>
      <c r="V233" s="1" t="s">
        <v>26</v>
      </c>
      <c r="W233" t="s">
        <v>2</v>
      </c>
      <c r="X233" t="s">
        <v>42</v>
      </c>
      <c r="Z233" s="12" t="str">
        <f t="shared" si="159"/>
        <v/>
      </c>
      <c r="AA233" t="str">
        <f t="shared" si="149"/>
        <v>Stantler</v>
      </c>
      <c r="AB233"/>
      <c r="AC233" t="s">
        <v>894</v>
      </c>
      <c r="AD233" s="8" t="str">
        <f>VLOOKUP(AC233,moves!A:B,2,FALSE)</f>
        <v>psychic</v>
      </c>
      <c r="AE233" s="8">
        <f>VLOOKUP(AC233,moves!A:D,4,FALSE)</f>
        <v>4</v>
      </c>
      <c r="AF233" s="8" t="str">
        <f>VLOOKUP(AC233,moves!A:E,5,FALSE)</f>
        <v>When the user is next attacked, remove a regular hit from the roll.</v>
      </c>
      <c r="AG233" s="6">
        <v>0</v>
      </c>
      <c r="AH233" s="6">
        <v>0</v>
      </c>
      <c r="AI233" s="8" t="str" cm="1">
        <f t="array" ref="AI233">_xlfn.IFS(AG233=1, "starter", AH233=1, "legendary",T233&lt; 13, "weak",T233&lt; 17, "moderate", TRUE, "strong")</f>
        <v>moderate</v>
      </c>
      <c r="AK233">
        <v>1</v>
      </c>
      <c r="AL233" s="8">
        <v>0</v>
      </c>
      <c r="AM233" s="8">
        <v>0</v>
      </c>
    </row>
    <row r="234" spans="1:39" x14ac:dyDescent="0.25">
      <c r="A234" s="9">
        <v>307</v>
      </c>
      <c r="B234" t="s">
        <v>121</v>
      </c>
      <c r="C234" t="s">
        <v>22</v>
      </c>
      <c r="D234" t="s">
        <v>26</v>
      </c>
      <c r="E234">
        <v>30</v>
      </c>
      <c r="F234">
        <f>40*2</f>
        <v>80</v>
      </c>
      <c r="G234">
        <v>55</v>
      </c>
      <c r="H234">
        <v>40</v>
      </c>
      <c r="I234">
        <v>55</v>
      </c>
      <c r="J234">
        <v>60</v>
      </c>
      <c r="K234" t="s">
        <v>292</v>
      </c>
      <c r="L234" t="s">
        <v>304</v>
      </c>
      <c r="M234" t="s">
        <v>299</v>
      </c>
      <c r="N234" s="9">
        <f t="shared" si="160"/>
        <v>6.8</v>
      </c>
      <c r="O234" s="9">
        <f t="shared" si="161"/>
        <v>4.5</v>
      </c>
      <c r="P234" s="9">
        <v>0</v>
      </c>
      <c r="Q234" s="9">
        <v>0</v>
      </c>
      <c r="R234" s="12">
        <f t="shared" si="162"/>
        <v>7</v>
      </c>
      <c r="S234" s="12">
        <f t="shared" si="163"/>
        <v>5</v>
      </c>
      <c r="T234" s="12">
        <f t="shared" si="164"/>
        <v>12</v>
      </c>
      <c r="U234" s="1" t="str">
        <f t="shared" si="165"/>
        <v>fighting</v>
      </c>
      <c r="V234" s="1" t="str">
        <f>IF(D234 = 0, "", D234)</f>
        <v>psychic</v>
      </c>
      <c r="W234" t="s">
        <v>33</v>
      </c>
      <c r="X234" t="s">
        <v>8</v>
      </c>
      <c r="Y234" s="1" t="str">
        <f>B235</f>
        <v>Medicham</v>
      </c>
      <c r="Z234" s="12">
        <f t="shared" si="159"/>
        <v>6</v>
      </c>
      <c r="AA234" t="str">
        <f t="shared" si="149"/>
        <v>Meditite</v>
      </c>
      <c r="AB234"/>
      <c r="AC234" t="s">
        <v>955</v>
      </c>
      <c r="AD234" s="8" t="str">
        <f>VLOOKUP(AC234,moves!A:B,2,FALSE)</f>
        <v>psychic</v>
      </c>
      <c r="AE234" s="8">
        <f>VLOOKUP(AC234,moves!A:D,4,FALSE)</f>
        <v>2</v>
      </c>
      <c r="AF234" s="8" t="str">
        <f>VLOOKUP(AC234,moves!A:E,5,FALSE)</f>
        <v>Deal extra damage equal to your current battle fatigue and then reset your battle fatigue to 0.</v>
      </c>
      <c r="AG234" s="6">
        <v>0</v>
      </c>
      <c r="AH234" s="6">
        <v>0</v>
      </c>
      <c r="AI234" s="8" t="str" cm="1">
        <f t="array" ref="AI234">_xlfn.IFS(AG234=1, "starter", AH234=1, "legendary",T234&lt; 13, "weak",T234&lt; 17, "moderate", TRUE, "strong")</f>
        <v>weak</v>
      </c>
      <c r="AK234">
        <v>1</v>
      </c>
      <c r="AL234" s="8">
        <v>0</v>
      </c>
      <c r="AM234" s="8">
        <v>0</v>
      </c>
    </row>
    <row r="235" spans="1:39" x14ac:dyDescent="0.25">
      <c r="A235" s="9">
        <v>308</v>
      </c>
      <c r="B235" t="s">
        <v>122</v>
      </c>
      <c r="C235" t="s">
        <v>22</v>
      </c>
      <c r="D235" t="s">
        <v>26</v>
      </c>
      <c r="E235">
        <v>60</v>
      </c>
      <c r="F235">
        <f>60*2</f>
        <v>120</v>
      </c>
      <c r="G235">
        <v>75</v>
      </c>
      <c r="H235">
        <v>60</v>
      </c>
      <c r="I235">
        <v>75</v>
      </c>
      <c r="J235">
        <v>80</v>
      </c>
      <c r="K235" t="s">
        <v>292</v>
      </c>
      <c r="L235" t="s">
        <v>304</v>
      </c>
      <c r="M235" t="s">
        <v>299</v>
      </c>
      <c r="N235" s="9">
        <f t="shared" si="160"/>
        <v>9.8000000000000007</v>
      </c>
      <c r="O235" s="9">
        <f t="shared" si="161"/>
        <v>6.9</v>
      </c>
      <c r="P235" s="9">
        <v>0</v>
      </c>
      <c r="Q235" s="9">
        <v>0</v>
      </c>
      <c r="R235" s="12">
        <f t="shared" si="162"/>
        <v>10</v>
      </c>
      <c r="S235" s="12">
        <f t="shared" si="163"/>
        <v>7</v>
      </c>
      <c r="T235" s="12">
        <f t="shared" si="164"/>
        <v>17</v>
      </c>
      <c r="U235" s="1" t="str">
        <f t="shared" si="165"/>
        <v>fighting</v>
      </c>
      <c r="V235" s="1" t="str">
        <f>IF(D235 = 0, "", D235)</f>
        <v>psychic</v>
      </c>
      <c r="W235" t="s">
        <v>33</v>
      </c>
      <c r="X235" t="s">
        <v>8</v>
      </c>
      <c r="Z235" s="12" t="str">
        <f t="shared" si="159"/>
        <v/>
      </c>
      <c r="AA235" t="str">
        <f t="shared" si="149"/>
        <v>Medicham</v>
      </c>
      <c r="AB235"/>
      <c r="AC235" t="s">
        <v>590</v>
      </c>
      <c r="AD235" s="8" t="str">
        <f>VLOOKUP(AC235,moves!A:B,2,FALSE)</f>
        <v>fighting</v>
      </c>
      <c r="AE235" s="8">
        <f>VLOOKUP(AC235,moves!A:D,4,FALSE)</f>
        <v>3</v>
      </c>
      <c r="AF235" s="8" t="str">
        <f>VLOOKUP(AC235,moves!A:E,5,FALSE)</f>
        <v>If a status symbol is rolled: Inflict the Paralysed status on the target. Status symbols deal +1 damage.</v>
      </c>
      <c r="AG235" s="6">
        <v>0</v>
      </c>
      <c r="AH235" s="6">
        <v>0</v>
      </c>
      <c r="AI235" s="8" t="str" cm="1">
        <f t="array" ref="AI235">_xlfn.IFS(AG235=1, "starter", AH235=1, "legendary",T235&lt; 13, "weak",T235&lt; 17, "moderate", TRUE, "strong")</f>
        <v>strong</v>
      </c>
      <c r="AK235">
        <v>2</v>
      </c>
      <c r="AL235" s="8">
        <v>0</v>
      </c>
      <c r="AM235" s="8">
        <v>0</v>
      </c>
    </row>
    <row r="236" spans="1:39" x14ac:dyDescent="0.25">
      <c r="A236" s="9">
        <v>371</v>
      </c>
      <c r="B236" t="s">
        <v>137</v>
      </c>
      <c r="C236" t="s">
        <v>67</v>
      </c>
      <c r="D236"/>
      <c r="E236">
        <v>45</v>
      </c>
      <c r="F236">
        <v>75</v>
      </c>
      <c r="G236">
        <v>60</v>
      </c>
      <c r="H236">
        <v>40</v>
      </c>
      <c r="I236">
        <v>30</v>
      </c>
      <c r="J236">
        <v>50</v>
      </c>
      <c r="K236" t="s">
        <v>296</v>
      </c>
      <c r="L236" s="2" t="s">
        <v>304</v>
      </c>
      <c r="M236" t="s">
        <v>299</v>
      </c>
      <c r="N236" s="9">
        <f t="shared" si="160"/>
        <v>6.15</v>
      </c>
      <c r="O236" s="9">
        <f t="shared" si="161"/>
        <v>4.5</v>
      </c>
      <c r="P236" s="9">
        <v>0</v>
      </c>
      <c r="Q236" s="9">
        <v>0</v>
      </c>
      <c r="R236" s="12">
        <f t="shared" si="162"/>
        <v>6</v>
      </c>
      <c r="S236" s="12">
        <f t="shared" si="163"/>
        <v>5</v>
      </c>
      <c r="T236" s="12">
        <f t="shared" si="164"/>
        <v>11</v>
      </c>
      <c r="U236" s="1" t="str">
        <f t="shared" si="165"/>
        <v>dragon</v>
      </c>
      <c r="V236" s="1" t="s">
        <v>8</v>
      </c>
      <c r="W236" t="s">
        <v>9</v>
      </c>
      <c r="X236" t="s">
        <v>4</v>
      </c>
      <c r="Y236" s="1" t="str">
        <f>B237</f>
        <v>Shelgon</v>
      </c>
      <c r="Z236" s="12">
        <f t="shared" si="159"/>
        <v>3</v>
      </c>
      <c r="AA236" t="str">
        <f t="shared" si="149"/>
        <v>Bagon</v>
      </c>
      <c r="AB236"/>
      <c r="AC236" t="s">
        <v>530</v>
      </c>
      <c r="AD236" s="8" t="str">
        <f>VLOOKUP(AC236,moves!A:B,2,FALSE)</f>
        <v>dark</v>
      </c>
      <c r="AE236" s="8">
        <f>VLOOKUP(AC236,moves!A:D,4,FALSE)</f>
        <v>3</v>
      </c>
      <c r="AF236" s="8" t="str">
        <f>VLOOKUP(AC236,moves!A:E,5,FALSE)</f>
        <v>When the target is next attacked, add a regular hit to the roll.</v>
      </c>
      <c r="AG236" s="6">
        <v>0</v>
      </c>
      <c r="AH236" s="6">
        <v>0</v>
      </c>
      <c r="AI236" s="8" t="str" cm="1">
        <f t="array" ref="AI236">_xlfn.IFS(AG236=1, "starter", AH236=1, "legendary",T236&lt; 13, "weak",T236&lt; 17, "moderate", TRUE, "strong")</f>
        <v>weak</v>
      </c>
      <c r="AK236">
        <v>1</v>
      </c>
      <c r="AL236" s="8">
        <v>0</v>
      </c>
      <c r="AM236" s="8">
        <v>0</v>
      </c>
    </row>
    <row r="237" spans="1:39" x14ac:dyDescent="0.25">
      <c r="A237" s="9">
        <v>372</v>
      </c>
      <c r="B237" t="s">
        <v>138</v>
      </c>
      <c r="C237" t="s">
        <v>67</v>
      </c>
      <c r="D237"/>
      <c r="E237">
        <v>65</v>
      </c>
      <c r="F237">
        <v>95</v>
      </c>
      <c r="G237">
        <v>100</v>
      </c>
      <c r="H237">
        <v>60</v>
      </c>
      <c r="I237">
        <v>50</v>
      </c>
      <c r="J237">
        <v>50</v>
      </c>
      <c r="K237" t="s">
        <v>297</v>
      </c>
      <c r="L237" s="2" t="s">
        <v>304</v>
      </c>
      <c r="M237" t="s">
        <v>299</v>
      </c>
      <c r="N237" s="9">
        <f t="shared" si="160"/>
        <v>7.35</v>
      </c>
      <c r="O237" s="9">
        <f t="shared" si="161"/>
        <v>7.1</v>
      </c>
      <c r="P237" s="9">
        <v>0</v>
      </c>
      <c r="Q237" s="9">
        <v>0</v>
      </c>
      <c r="R237" s="12">
        <f t="shared" si="162"/>
        <v>7</v>
      </c>
      <c r="S237" s="12">
        <f t="shared" si="163"/>
        <v>7</v>
      </c>
      <c r="T237" s="12">
        <f t="shared" si="164"/>
        <v>14</v>
      </c>
      <c r="U237" s="1" t="str">
        <f t="shared" si="165"/>
        <v>dragon</v>
      </c>
      <c r="V237" s="1" t="s">
        <v>8</v>
      </c>
      <c r="W237" t="s">
        <v>9</v>
      </c>
      <c r="X237" t="s">
        <v>4</v>
      </c>
      <c r="Y237" s="1" t="str">
        <f>B238</f>
        <v>Salamence</v>
      </c>
      <c r="Z237" s="12">
        <f t="shared" si="159"/>
        <v>11</v>
      </c>
      <c r="AA237" t="str">
        <f t="shared" si="149"/>
        <v>Shelgon</v>
      </c>
      <c r="AB237"/>
      <c r="AC237" t="s">
        <v>595</v>
      </c>
      <c r="AD237" s="8" t="str">
        <f>VLOOKUP(AC237,moves!A:B,2,FALSE)</f>
        <v>normal</v>
      </c>
      <c r="AE237" s="8">
        <f>VLOOKUP(AC237,moves!A:D,4,FALSE)</f>
        <v>3</v>
      </c>
      <c r="AF237" s="8" t="str">
        <f>VLOOKUP(AC237,moves!A:E,5,FALSE)</f>
        <v>If a status symbol is rolled: Inflict the Paralysed status on the target.</v>
      </c>
      <c r="AG237" s="6">
        <v>0</v>
      </c>
      <c r="AH237" s="6">
        <v>0</v>
      </c>
      <c r="AI237" s="8" t="str" cm="1">
        <f t="array" ref="AI237">_xlfn.IFS(AG237=1, "starter", AH237=1, "legendary",T237&lt; 13, "weak",T237&lt; 17, "moderate", TRUE, "strong")</f>
        <v>moderate</v>
      </c>
      <c r="AK237">
        <v>2</v>
      </c>
      <c r="AL237" s="8">
        <v>0</v>
      </c>
      <c r="AM237" s="8">
        <v>0</v>
      </c>
    </row>
    <row r="238" spans="1:39" x14ac:dyDescent="0.25">
      <c r="A238" s="9">
        <v>373</v>
      </c>
      <c r="B238" t="s">
        <v>139</v>
      </c>
      <c r="C238" t="s">
        <v>67</v>
      </c>
      <c r="D238" t="s">
        <v>5</v>
      </c>
      <c r="E238">
        <v>95</v>
      </c>
      <c r="F238">
        <v>135</v>
      </c>
      <c r="G238">
        <v>80</v>
      </c>
      <c r="H238">
        <v>110</v>
      </c>
      <c r="I238">
        <v>80</v>
      </c>
      <c r="J238">
        <v>100</v>
      </c>
      <c r="K238" t="s">
        <v>268</v>
      </c>
      <c r="L238" s="2" t="s">
        <v>304</v>
      </c>
      <c r="M238" t="s">
        <v>299</v>
      </c>
      <c r="N238" s="9">
        <f t="shared" si="160"/>
        <v>11.85</v>
      </c>
      <c r="O238" s="9">
        <f t="shared" si="161"/>
        <v>8.6</v>
      </c>
      <c r="P238" s="9">
        <v>0</v>
      </c>
      <c r="Q238" s="9">
        <v>0</v>
      </c>
      <c r="R238" s="12">
        <f t="shared" si="162"/>
        <v>12</v>
      </c>
      <c r="S238" s="12">
        <f t="shared" si="163"/>
        <v>9</v>
      </c>
      <c r="T238" s="12">
        <f t="shared" si="164"/>
        <v>21</v>
      </c>
      <c r="U238" s="1" t="str">
        <f t="shared" si="165"/>
        <v>dragon</v>
      </c>
      <c r="V238" s="1" t="str">
        <f>IF(D238 = 0, "", D238)</f>
        <v>flying</v>
      </c>
      <c r="W238" t="s">
        <v>9</v>
      </c>
      <c r="X238" t="s">
        <v>4</v>
      </c>
      <c r="Z238" s="12" t="str">
        <f t="shared" si="159"/>
        <v/>
      </c>
      <c r="AA238" t="str">
        <f t="shared" si="149"/>
        <v>Salamence</v>
      </c>
      <c r="AB238"/>
      <c r="AC238" t="s">
        <v>505</v>
      </c>
      <c r="AD238" s="8" t="str">
        <f>VLOOKUP(AC238,moves!A:B,2,FALSE)</f>
        <v>dragon</v>
      </c>
      <c r="AE238" s="8">
        <f>VLOOKUP(AC238,moves!A:D,4,FALSE)</f>
        <v>5</v>
      </c>
      <c r="AF238" s="8" t="str">
        <f>VLOOKUP(AC238,moves!A:E,5,FALSE)</f>
        <v>If this move was used last turn, attack strength is increased to 6 but inflict the Confused status on the user.</v>
      </c>
      <c r="AG238" s="6">
        <v>0</v>
      </c>
      <c r="AH238" s="6">
        <v>0</v>
      </c>
      <c r="AI238" s="8" t="str" cm="1">
        <f t="array" ref="AI238">_xlfn.IFS(AG238=1, "starter", AH238=1, "legendary",T238&lt; 13, "weak",T238&lt; 17, "moderate", TRUE, "strong")</f>
        <v>strong</v>
      </c>
      <c r="AK238">
        <v>3</v>
      </c>
      <c r="AL238" s="8">
        <v>0</v>
      </c>
      <c r="AM238" s="8">
        <v>0</v>
      </c>
    </row>
    <row r="239" spans="1:39" x14ac:dyDescent="0.25">
      <c r="A239" s="9">
        <v>236</v>
      </c>
      <c r="B239" t="s">
        <v>102</v>
      </c>
      <c r="C239" t="s">
        <v>22</v>
      </c>
      <c r="D239"/>
      <c r="E239">
        <v>35</v>
      </c>
      <c r="F239">
        <v>35</v>
      </c>
      <c r="G239">
        <v>35</v>
      </c>
      <c r="H239">
        <v>35</v>
      </c>
      <c r="I239">
        <v>35</v>
      </c>
      <c r="J239">
        <v>35</v>
      </c>
      <c r="K239" t="s">
        <v>286</v>
      </c>
      <c r="L239" s="2" t="s">
        <v>304</v>
      </c>
      <c r="M239" t="s">
        <v>302</v>
      </c>
      <c r="N239" s="9">
        <f t="shared" si="160"/>
        <v>3.5</v>
      </c>
      <c r="O239" s="9">
        <f t="shared" si="161"/>
        <v>3.5</v>
      </c>
      <c r="P239" s="9">
        <v>0</v>
      </c>
      <c r="Q239" s="9">
        <v>0</v>
      </c>
      <c r="R239" s="12">
        <f t="shared" si="162"/>
        <v>4</v>
      </c>
      <c r="S239" s="12">
        <f t="shared" si="163"/>
        <v>4</v>
      </c>
      <c r="T239" s="12">
        <f t="shared" si="164"/>
        <v>8</v>
      </c>
      <c r="U239" s="1" t="str">
        <f t="shared" si="165"/>
        <v>fighting</v>
      </c>
      <c r="V239" s="1" t="s">
        <v>8</v>
      </c>
      <c r="W239" t="s">
        <v>13</v>
      </c>
      <c r="X239" t="s">
        <v>39</v>
      </c>
      <c r="Y239" t="s">
        <v>575</v>
      </c>
      <c r="Z239" s="12">
        <f t="shared" si="159"/>
        <v>7</v>
      </c>
      <c r="AA239" t="str">
        <f t="shared" si="149"/>
        <v>Tyrogue</v>
      </c>
      <c r="AB239"/>
      <c r="AC239" t="s">
        <v>513</v>
      </c>
      <c r="AD239" s="8" t="str">
        <f>VLOOKUP(AC239,moves!A:B,2,FALSE)</f>
        <v>normal</v>
      </c>
      <c r="AE239" s="8">
        <f>VLOOKUP(AC239,moves!A:D,4,FALSE)</f>
        <v>2</v>
      </c>
      <c r="AF239" s="8" t="str">
        <f>VLOOKUP(AC239,moves!A:E,5,FALSE)</f>
        <v>When the target next attacks, remove a regular hit from the roll.</v>
      </c>
      <c r="AG239" s="6">
        <v>0</v>
      </c>
      <c r="AH239" s="6">
        <v>0</v>
      </c>
      <c r="AI239" s="8" t="str" cm="1">
        <f t="array" ref="AI239">_xlfn.IFS(AG239=1, "starter", AH239=1, "legendary",T239&lt; 13, "weak",T239&lt; 17, "moderate", TRUE, "strong")</f>
        <v>weak</v>
      </c>
      <c r="AK239">
        <v>1</v>
      </c>
      <c r="AL239" s="8">
        <v>0</v>
      </c>
      <c r="AM239" s="8">
        <v>0</v>
      </c>
    </row>
    <row r="240" spans="1:39" x14ac:dyDescent="0.25">
      <c r="A240" s="9">
        <v>106</v>
      </c>
      <c r="B240" t="s">
        <v>46</v>
      </c>
      <c r="C240" t="s">
        <v>22</v>
      </c>
      <c r="D240"/>
      <c r="E240">
        <v>50</v>
      </c>
      <c r="F240">
        <v>120</v>
      </c>
      <c r="G240">
        <v>53</v>
      </c>
      <c r="H240">
        <v>35</v>
      </c>
      <c r="I240">
        <v>110</v>
      </c>
      <c r="J240">
        <v>87</v>
      </c>
      <c r="K240" t="s">
        <v>266</v>
      </c>
      <c r="L240" s="2" t="s">
        <v>304</v>
      </c>
      <c r="M240" t="s">
        <v>302</v>
      </c>
      <c r="N240" s="9">
        <f t="shared" si="160"/>
        <v>9.8300000000000018</v>
      </c>
      <c r="O240" s="9">
        <f t="shared" si="161"/>
        <v>6.8900000000000006</v>
      </c>
      <c r="P240" s="9">
        <v>0</v>
      </c>
      <c r="Q240" s="9">
        <v>-1</v>
      </c>
      <c r="R240" s="12">
        <f t="shared" si="162"/>
        <v>10</v>
      </c>
      <c r="S240" s="12">
        <f t="shared" si="163"/>
        <v>6</v>
      </c>
      <c r="T240" s="12">
        <f t="shared" si="164"/>
        <v>16</v>
      </c>
      <c r="U240" s="1" t="str">
        <f t="shared" si="165"/>
        <v>fighting</v>
      </c>
      <c r="V240" s="1" t="s">
        <v>8</v>
      </c>
      <c r="W240" t="s">
        <v>13</v>
      </c>
      <c r="X240" t="s">
        <v>4</v>
      </c>
      <c r="Z240" s="12" t="str">
        <f t="shared" si="159"/>
        <v/>
      </c>
      <c r="AA240" t="str">
        <f t="shared" si="149"/>
        <v>Hitmonlee</v>
      </c>
      <c r="AB240"/>
      <c r="AC240" t="s">
        <v>573</v>
      </c>
      <c r="AD240" s="8" t="str">
        <f>VLOOKUP(AC240,moves!A:B,2,FALSE)</f>
        <v>fighting</v>
      </c>
      <c r="AE240" s="8">
        <f>VLOOKUP(AC240,moves!A:D,4,FALSE)</f>
        <v>5</v>
      </c>
      <c r="AF240" s="8" t="str">
        <f>VLOOKUP(AC240,moves!A:E,5,FALSE)</f>
        <v xml:space="preserve">Deals 4 extra damage to Flying-type Pokémon. For each status symbol rolled: The user takes 2 damage. </v>
      </c>
      <c r="AG240" s="6">
        <v>0</v>
      </c>
      <c r="AH240" s="6">
        <v>0</v>
      </c>
      <c r="AI240" s="8" t="str" cm="1">
        <f t="array" ref="AI240">_xlfn.IFS(AG240=1, "starter", AH240=1, "legendary",T240&lt; 13, "weak",T240&lt; 17, "moderate", TRUE, "strong")</f>
        <v>moderate</v>
      </c>
      <c r="AK240">
        <v>2</v>
      </c>
      <c r="AL240" s="8">
        <v>0</v>
      </c>
      <c r="AM240" s="8">
        <v>0</v>
      </c>
    </row>
    <row r="241" spans="1:39" x14ac:dyDescent="0.25">
      <c r="A241" s="9">
        <v>107</v>
      </c>
      <c r="B241" t="s">
        <v>47</v>
      </c>
      <c r="C241" t="s">
        <v>22</v>
      </c>
      <c r="D241"/>
      <c r="E241">
        <v>50</v>
      </c>
      <c r="F241">
        <v>105</v>
      </c>
      <c r="G241">
        <v>79</v>
      </c>
      <c r="H241">
        <v>35</v>
      </c>
      <c r="I241">
        <v>110</v>
      </c>
      <c r="J241">
        <v>76</v>
      </c>
      <c r="K241" t="s">
        <v>267</v>
      </c>
      <c r="L241" s="2" t="s">
        <v>304</v>
      </c>
      <c r="M241" t="s">
        <v>302</v>
      </c>
      <c r="N241" s="9">
        <f t="shared" si="160"/>
        <v>8.64</v>
      </c>
      <c r="O241" s="9">
        <f t="shared" si="161"/>
        <v>7.67</v>
      </c>
      <c r="P241" s="9">
        <v>0</v>
      </c>
      <c r="Q241" s="9">
        <v>-1</v>
      </c>
      <c r="R241" s="12">
        <f t="shared" si="162"/>
        <v>9</v>
      </c>
      <c r="S241" s="12">
        <f t="shared" si="163"/>
        <v>7</v>
      </c>
      <c r="T241" s="12">
        <f t="shared" si="164"/>
        <v>16</v>
      </c>
      <c r="U241" s="1" t="str">
        <f t="shared" si="165"/>
        <v>fighting</v>
      </c>
      <c r="V241" s="9" t="s">
        <v>11</v>
      </c>
      <c r="W241" s="9" t="s">
        <v>4</v>
      </c>
      <c r="X241" s="9" t="s">
        <v>14</v>
      </c>
      <c r="Z241" s="12" t="str">
        <f t="shared" si="159"/>
        <v/>
      </c>
      <c r="AA241" t="str">
        <f t="shared" si="149"/>
        <v>Hitmonchan</v>
      </c>
      <c r="AB241"/>
      <c r="AC241" t="s">
        <v>750</v>
      </c>
      <c r="AD241" s="8" t="str">
        <f>VLOOKUP(AC241,moves!A:B,2,FALSE)</f>
        <v>typeless</v>
      </c>
      <c r="AE241" s="8">
        <f>VLOOKUP(AC241,moves!A:D,4,FALSE)</f>
        <v>4</v>
      </c>
      <c r="AF241" s="8" t="str">
        <f>VLOOKUP(AC241,moves!A:E,5,FALSE)</f>
        <v>Choose any learnable type of the user as the type of this attack.</v>
      </c>
      <c r="AG241" s="6">
        <v>0</v>
      </c>
      <c r="AH241" s="6">
        <v>0</v>
      </c>
      <c r="AI241" s="8" t="str" cm="1">
        <f t="array" ref="AI241">_xlfn.IFS(AG241=1, "starter", AH241=1, "legendary",T241&lt; 13, "weak",T241&lt; 17, "moderate", TRUE, "strong")</f>
        <v>moderate</v>
      </c>
      <c r="AK241">
        <v>2</v>
      </c>
      <c r="AL241" s="8">
        <v>0</v>
      </c>
      <c r="AM241" s="8">
        <v>0</v>
      </c>
    </row>
    <row r="242" spans="1:39" x14ac:dyDescent="0.25">
      <c r="A242" s="9">
        <v>237</v>
      </c>
      <c r="B242" t="s">
        <v>103</v>
      </c>
      <c r="C242" t="s">
        <v>22</v>
      </c>
      <c r="D242"/>
      <c r="E242">
        <v>50</v>
      </c>
      <c r="F242">
        <v>95</v>
      </c>
      <c r="G242">
        <v>95</v>
      </c>
      <c r="H242">
        <v>35</v>
      </c>
      <c r="I242">
        <v>110</v>
      </c>
      <c r="J242">
        <v>70</v>
      </c>
      <c r="K242" t="s">
        <v>287</v>
      </c>
      <c r="L242" s="2" t="s">
        <v>304</v>
      </c>
      <c r="M242" t="s">
        <v>302</v>
      </c>
      <c r="N242" s="9">
        <f t="shared" si="160"/>
        <v>7.9</v>
      </c>
      <c r="O242" s="9">
        <f t="shared" si="161"/>
        <v>8.15</v>
      </c>
      <c r="P242" s="9">
        <v>0</v>
      </c>
      <c r="Q242" s="9">
        <v>0</v>
      </c>
      <c r="R242" s="12">
        <f t="shared" si="162"/>
        <v>8</v>
      </c>
      <c r="S242" s="12">
        <f t="shared" si="163"/>
        <v>8</v>
      </c>
      <c r="T242" s="12">
        <f t="shared" si="164"/>
        <v>16</v>
      </c>
      <c r="U242" s="1" t="str">
        <f t="shared" si="165"/>
        <v>fighting</v>
      </c>
      <c r="V242" s="1" t="s">
        <v>8</v>
      </c>
      <c r="W242" t="s">
        <v>13</v>
      </c>
      <c r="X242" t="s">
        <v>39</v>
      </c>
      <c r="Z242" s="12" t="str">
        <f t="shared" si="159"/>
        <v/>
      </c>
      <c r="AA242" t="str">
        <f t="shared" si="149"/>
        <v>Hitmontop</v>
      </c>
      <c r="AB242"/>
      <c r="AC242" t="s">
        <v>574</v>
      </c>
      <c r="AD242" s="8" t="str">
        <f>VLOOKUP(AC242,moves!A:B,2,FALSE)</f>
        <v>fighting</v>
      </c>
      <c r="AE242" s="8">
        <f>VLOOKUP(AC242,moves!A:D,4,FALSE)</f>
        <v>3</v>
      </c>
      <c r="AF242" s="8" t="str">
        <f>VLOOKUP(AC242,moves!A:E,5,FALSE)</f>
        <v>Regular hits deal +1 damage.</v>
      </c>
      <c r="AG242" s="6">
        <v>0</v>
      </c>
      <c r="AH242" s="6">
        <v>0</v>
      </c>
      <c r="AI242" s="8" t="str" cm="1">
        <f t="array" ref="AI242">_xlfn.IFS(AG242=1, "starter", AH242=1, "legendary",T242&lt; 13, "weak",T242&lt; 17, "moderate", TRUE, "strong")</f>
        <v>moderate</v>
      </c>
      <c r="AK242">
        <v>2</v>
      </c>
      <c r="AL242" s="8">
        <v>0</v>
      </c>
      <c r="AM242" s="8">
        <v>0</v>
      </c>
    </row>
    <row r="243" spans="1:39" x14ac:dyDescent="0.25">
      <c r="A243" s="9">
        <v>349</v>
      </c>
      <c r="B243" t="s">
        <v>126</v>
      </c>
      <c r="C243" t="s">
        <v>6</v>
      </c>
      <c r="D243"/>
      <c r="E243">
        <v>20</v>
      </c>
      <c r="F243">
        <v>15</v>
      </c>
      <c r="G243">
        <v>20</v>
      </c>
      <c r="H243">
        <v>10</v>
      </c>
      <c r="I243">
        <v>55</v>
      </c>
      <c r="J243">
        <v>80</v>
      </c>
      <c r="K243" t="s">
        <v>270</v>
      </c>
      <c r="L243" s="2" t="s">
        <v>303</v>
      </c>
      <c r="M243" s="8" t="s">
        <v>299</v>
      </c>
      <c r="N243" s="9">
        <f t="shared" si="160"/>
        <v>4.05</v>
      </c>
      <c r="O243" s="9">
        <f t="shared" si="161"/>
        <v>3.05</v>
      </c>
      <c r="P243" s="9">
        <v>0</v>
      </c>
      <c r="Q243" s="9">
        <v>0</v>
      </c>
      <c r="R243" s="12">
        <f t="shared" si="162"/>
        <v>4</v>
      </c>
      <c r="S243" s="12">
        <f t="shared" si="163"/>
        <v>3</v>
      </c>
      <c r="T243" s="12">
        <f t="shared" si="164"/>
        <v>7</v>
      </c>
      <c r="U243" s="1" t="str">
        <f t="shared" si="165"/>
        <v>water</v>
      </c>
      <c r="V243" s="1" t="s">
        <v>8</v>
      </c>
      <c r="W243" t="s">
        <v>14</v>
      </c>
      <c r="X243" t="s">
        <v>67</v>
      </c>
      <c r="Y243" s="1" t="str">
        <f>B244</f>
        <v>Milotic</v>
      </c>
      <c r="Z243" s="12">
        <f t="shared" si="159"/>
        <v>11</v>
      </c>
      <c r="AA243" t="str">
        <f t="shared" si="149"/>
        <v>Feebas</v>
      </c>
      <c r="AB243"/>
      <c r="AC243" t="s">
        <v>555</v>
      </c>
      <c r="AD243" s="8" t="str">
        <f>VLOOKUP(AC243,moves!A:B,2,FALSE)</f>
        <v>normal</v>
      </c>
      <c r="AE243" s="8">
        <f>VLOOKUP(AC243,moves!A:D,4,FALSE)</f>
        <v>1</v>
      </c>
      <c r="AF243" s="8" t="str">
        <f>VLOOKUP(AC243,moves!A:E,5,FALSE)</f>
        <v>Roll a status dice and inflict the result on the target.</v>
      </c>
      <c r="AG243" s="6">
        <v>0</v>
      </c>
      <c r="AH243" s="6">
        <v>0</v>
      </c>
      <c r="AI243" s="8" t="str" cm="1">
        <f t="array" ref="AI243">_xlfn.IFS(AG243=1, "starter", AH243=1, "legendary",T243&lt; 13, "weak",T243&lt; 17, "moderate", TRUE, "strong")</f>
        <v>weak</v>
      </c>
      <c r="AK243">
        <v>1</v>
      </c>
      <c r="AL243" s="8">
        <v>0</v>
      </c>
      <c r="AM243" s="8">
        <v>0</v>
      </c>
    </row>
    <row r="244" spans="1:39" x14ac:dyDescent="0.25">
      <c r="A244" s="9">
        <v>350</v>
      </c>
      <c r="B244" t="s">
        <v>127</v>
      </c>
      <c r="C244" t="s">
        <v>6</v>
      </c>
      <c r="D244"/>
      <c r="E244">
        <v>95</v>
      </c>
      <c r="F244">
        <v>60</v>
      </c>
      <c r="G244">
        <v>79</v>
      </c>
      <c r="H244">
        <v>100</v>
      </c>
      <c r="I244">
        <v>125</v>
      </c>
      <c r="J244">
        <v>81</v>
      </c>
      <c r="K244" t="s">
        <v>295</v>
      </c>
      <c r="L244" s="2" t="s">
        <v>303</v>
      </c>
      <c r="M244" s="8" t="s">
        <v>299</v>
      </c>
      <c r="N244" s="9">
        <f t="shared" si="160"/>
        <v>8.84</v>
      </c>
      <c r="O244" s="9">
        <f t="shared" si="161"/>
        <v>9.92</v>
      </c>
      <c r="P244" s="9">
        <v>0</v>
      </c>
      <c r="Q244" s="9">
        <v>0</v>
      </c>
      <c r="R244" s="12">
        <f t="shared" si="162"/>
        <v>9</v>
      </c>
      <c r="S244" s="12">
        <f t="shared" si="163"/>
        <v>10</v>
      </c>
      <c r="T244" s="12">
        <f t="shared" si="164"/>
        <v>19</v>
      </c>
      <c r="U244" s="1" t="str">
        <f t="shared" si="165"/>
        <v>water</v>
      </c>
      <c r="V244" s="1" t="s">
        <v>16</v>
      </c>
      <c r="W244" t="s">
        <v>14</v>
      </c>
      <c r="X244" t="s">
        <v>67</v>
      </c>
      <c r="Z244" s="12" t="str">
        <f t="shared" si="159"/>
        <v/>
      </c>
      <c r="AA244" t="str">
        <f t="shared" si="149"/>
        <v>Milotic</v>
      </c>
      <c r="AB244"/>
      <c r="AC244" t="s">
        <v>482</v>
      </c>
      <c r="AD244" s="8" t="str">
        <f>VLOOKUP(AC244,moves!A:B,2,FALSE)</f>
        <v>water</v>
      </c>
      <c r="AE244" s="8">
        <f>VLOOKUP(AC244,moves!A:D,4,FALSE)</f>
        <v>5</v>
      </c>
      <c r="AF244" s="8" t="str">
        <f>VLOOKUP(AC244,moves!A:E,5,FALSE)</f>
        <v>If 2+ status symbols are rolled: Inflict the Confused status on the target.</v>
      </c>
      <c r="AG244" s="6">
        <v>0</v>
      </c>
      <c r="AH244" s="6">
        <v>0</v>
      </c>
      <c r="AI244" s="8" t="str" cm="1">
        <f t="array" ref="AI244">_xlfn.IFS(AG244=1, "starter", AH244=1, "legendary",T244&lt; 13, "weak",T244&lt; 17, "moderate", TRUE, "strong")</f>
        <v>strong</v>
      </c>
      <c r="AK244">
        <v>2</v>
      </c>
      <c r="AL244" s="8">
        <v>0</v>
      </c>
      <c r="AM244" s="8">
        <v>0</v>
      </c>
    </row>
    <row r="245" spans="1:39" x14ac:dyDescent="0.25">
      <c r="A245" s="9">
        <v>251</v>
      </c>
      <c r="B245" s="6" t="s">
        <v>110</v>
      </c>
      <c r="C245" t="s">
        <v>26</v>
      </c>
      <c r="D245" t="s">
        <v>2</v>
      </c>
      <c r="E245">
        <v>100</v>
      </c>
      <c r="F245">
        <v>100</v>
      </c>
      <c r="G245">
        <v>100</v>
      </c>
      <c r="H245">
        <v>100</v>
      </c>
      <c r="I245">
        <v>100</v>
      </c>
      <c r="J245">
        <v>100</v>
      </c>
      <c r="K245" t="s">
        <v>290</v>
      </c>
      <c r="L245" s="2" t="s">
        <v>298</v>
      </c>
      <c r="M245" t="s">
        <v>300</v>
      </c>
      <c r="N245" s="9">
        <f t="shared" si="160"/>
        <v>10</v>
      </c>
      <c r="O245" s="9">
        <f t="shared" si="161"/>
        <v>10</v>
      </c>
      <c r="P245" s="9">
        <v>0</v>
      </c>
      <c r="Q245" s="9">
        <v>0</v>
      </c>
      <c r="R245" s="12">
        <f t="shared" si="162"/>
        <v>10</v>
      </c>
      <c r="S245" s="12">
        <f t="shared" si="163"/>
        <v>10</v>
      </c>
      <c r="T245" s="12">
        <f t="shared" si="164"/>
        <v>20</v>
      </c>
      <c r="U245" s="1" t="str">
        <f t="shared" si="165"/>
        <v>psychic</v>
      </c>
      <c r="V245" s="1" t="str">
        <f>IF(D245 = 0, "", D245)</f>
        <v>grass</v>
      </c>
      <c r="W245" t="s">
        <v>8</v>
      </c>
      <c r="X245" t="s">
        <v>33</v>
      </c>
      <c r="Y245"/>
      <c r="Z245" s="12" t="str">
        <f t="shared" si="159"/>
        <v/>
      </c>
      <c r="AA245" t="str">
        <f t="shared" si="149"/>
        <v>Celebi</v>
      </c>
      <c r="AB245"/>
      <c r="AC245" t="s">
        <v>1243</v>
      </c>
      <c r="AD245" s="8" t="str">
        <f>VLOOKUP(AC245,moves!A:B,2,FALSE)</f>
        <v>psychic</v>
      </c>
      <c r="AE245" s="8">
        <f>VLOOKUP(AC245,moves!A:D,4,FALSE)</f>
        <v>4</v>
      </c>
      <c r="AF245" s="8" t="str">
        <f>VLOOKUP(AC245,moves!A:E,5,FALSE)</f>
        <v>When the target next attacks, you may force them to reroll their attack once. Battle fatigue still increases.</v>
      </c>
      <c r="AG245" s="6">
        <v>0</v>
      </c>
      <c r="AH245" s="6">
        <v>1</v>
      </c>
      <c r="AI245" s="8" t="str" cm="1">
        <f t="array" ref="AI245">_xlfn.IFS(AG245=1, "starter", AH245=1, "legendary",T245&lt; 13, "weak",T245&lt; 17, "moderate", TRUE, "strong")</f>
        <v>legendary</v>
      </c>
      <c r="AK245">
        <v>1</v>
      </c>
      <c r="AL245" s="8">
        <v>0</v>
      </c>
      <c r="AM245" s="8">
        <v>0</v>
      </c>
    </row>
    <row r="246" spans="1:39" x14ac:dyDescent="0.25">
      <c r="A246" s="9">
        <v>222</v>
      </c>
      <c r="B246" t="s">
        <v>95</v>
      </c>
      <c r="C246" t="s">
        <v>6</v>
      </c>
      <c r="D246" t="s">
        <v>33</v>
      </c>
      <c r="E246">
        <v>65</v>
      </c>
      <c r="F246">
        <v>55</v>
      </c>
      <c r="G246">
        <v>95</v>
      </c>
      <c r="H246">
        <v>65</v>
      </c>
      <c r="I246">
        <v>95</v>
      </c>
      <c r="J246">
        <v>35</v>
      </c>
      <c r="K246" t="s">
        <v>282</v>
      </c>
      <c r="L246" s="2" t="s">
        <v>303</v>
      </c>
      <c r="M246" s="2" t="s">
        <v>299</v>
      </c>
      <c r="N246" s="9">
        <f t="shared" si="160"/>
        <v>5.2</v>
      </c>
      <c r="O246" s="9">
        <f t="shared" si="161"/>
        <v>8.3000000000000007</v>
      </c>
      <c r="P246" s="9">
        <v>0</v>
      </c>
      <c r="Q246" s="9">
        <v>0</v>
      </c>
      <c r="R246" s="12">
        <f t="shared" si="162"/>
        <v>5</v>
      </c>
      <c r="S246" s="12">
        <f t="shared" si="163"/>
        <v>8</v>
      </c>
      <c r="T246" s="12">
        <f t="shared" si="164"/>
        <v>13</v>
      </c>
      <c r="U246" s="1" t="str">
        <f t="shared" si="165"/>
        <v>water</v>
      </c>
      <c r="V246" s="1" t="str">
        <f>IF(D246 = 0, "", D246)</f>
        <v>rock</v>
      </c>
      <c r="W246" t="s">
        <v>13</v>
      </c>
      <c r="X246" s="1" t="s">
        <v>8</v>
      </c>
      <c r="Y246"/>
      <c r="Z246" s="12" t="str">
        <f t="shared" si="159"/>
        <v/>
      </c>
      <c r="AA246" t="str">
        <f t="shared" si="149"/>
        <v>Corsola</v>
      </c>
      <c r="AB246"/>
      <c r="AC246" t="s">
        <v>503</v>
      </c>
      <c r="AD246" s="8" t="str">
        <f>VLOOKUP(AC246,moves!A:B,2,FALSE)</f>
        <v>rock</v>
      </c>
      <c r="AE246" s="8">
        <f>VLOOKUP(AC246,moves!A:D,4,FALSE)</f>
        <v>5</v>
      </c>
      <c r="AF246" s="8" t="str">
        <f>VLOOKUP(AC246,moves!A:E,5,FALSE)</f>
        <v>Status symbols deal -2 damage.</v>
      </c>
      <c r="AG246" s="6">
        <v>0</v>
      </c>
      <c r="AH246" s="6">
        <v>0</v>
      </c>
      <c r="AI246" s="8" t="str" cm="1">
        <f t="array" ref="AI246">_xlfn.IFS(AG246=1, "starter", AH246=1, "legendary",T246&lt; 13, "weak",T246&lt; 17, "moderate", TRUE, "strong")</f>
        <v>moderate</v>
      </c>
      <c r="AK246">
        <v>1</v>
      </c>
      <c r="AL246" s="8">
        <v>0</v>
      </c>
      <c r="AM246" s="8">
        <v>0</v>
      </c>
    </row>
    <row r="247" spans="1:39" x14ac:dyDescent="0.25">
      <c r="A247" s="9">
        <v>147</v>
      </c>
      <c r="B247" t="s">
        <v>66</v>
      </c>
      <c r="C247" t="s">
        <v>67</v>
      </c>
      <c r="D247"/>
      <c r="E247">
        <v>41</v>
      </c>
      <c r="F247">
        <v>64</v>
      </c>
      <c r="G247">
        <v>45</v>
      </c>
      <c r="H247">
        <v>50</v>
      </c>
      <c r="I247">
        <v>50</v>
      </c>
      <c r="J247">
        <v>50</v>
      </c>
      <c r="K247" t="s">
        <v>268</v>
      </c>
      <c r="L247" s="2" t="s">
        <v>303</v>
      </c>
      <c r="M247" t="s">
        <v>300</v>
      </c>
      <c r="N247" s="9">
        <f t="shared" si="160"/>
        <v>5.7</v>
      </c>
      <c r="O247" s="9">
        <f t="shared" si="161"/>
        <v>4.49</v>
      </c>
      <c r="P247" s="9">
        <v>0</v>
      </c>
      <c r="Q247" s="9">
        <v>0</v>
      </c>
      <c r="R247" s="12">
        <f t="shared" si="162"/>
        <v>6</v>
      </c>
      <c r="S247" s="12">
        <f t="shared" si="163"/>
        <v>4</v>
      </c>
      <c r="T247" s="12">
        <f t="shared" si="164"/>
        <v>10</v>
      </c>
      <c r="U247" s="1" t="str">
        <f t="shared" si="165"/>
        <v>dragon</v>
      </c>
      <c r="V247" s="1" t="s">
        <v>8</v>
      </c>
      <c r="W247" t="s">
        <v>6</v>
      </c>
      <c r="X247" s="1" t="s">
        <v>4</v>
      </c>
      <c r="Y247" s="1" t="str">
        <f>B248</f>
        <v>Dragonair</v>
      </c>
      <c r="Z247" s="12">
        <f t="shared" si="159"/>
        <v>4</v>
      </c>
      <c r="AA247" t="str">
        <f t="shared" si="149"/>
        <v>Dratini</v>
      </c>
      <c r="AB247"/>
      <c r="AC247" t="s">
        <v>597</v>
      </c>
      <c r="AD247" s="8" t="str">
        <f>VLOOKUP(AC247,moves!A:B,2,FALSE)</f>
        <v>dragon</v>
      </c>
      <c r="AE247" s="8">
        <f>VLOOKUP(AC247,moves!A:D,4,FALSE)</f>
        <v>2</v>
      </c>
      <c r="AF247" s="8" t="str">
        <f>VLOOKUP(AC247,moves!A:E,5,FALSE)</f>
        <v>Inflict the Paralysed status on the target.</v>
      </c>
      <c r="AG247" s="6">
        <v>0</v>
      </c>
      <c r="AH247" s="6">
        <v>0</v>
      </c>
      <c r="AI247" s="8" t="str" cm="1">
        <f t="array" ref="AI247">_xlfn.IFS(AG247=1, "starter", AH247=1, "legendary",T247&lt; 13, "weak",T247&lt; 17, "moderate", TRUE, "strong")</f>
        <v>weak</v>
      </c>
      <c r="AK247">
        <v>1</v>
      </c>
      <c r="AL247" s="8">
        <v>0</v>
      </c>
      <c r="AM247" s="8">
        <v>0</v>
      </c>
    </row>
    <row r="248" spans="1:39" x14ac:dyDescent="0.25">
      <c r="A248" s="9">
        <v>148</v>
      </c>
      <c r="B248" t="s">
        <v>68</v>
      </c>
      <c r="C248" t="s">
        <v>67</v>
      </c>
      <c r="D248"/>
      <c r="E248">
        <v>61</v>
      </c>
      <c r="F248">
        <v>84</v>
      </c>
      <c r="G248">
        <v>65</v>
      </c>
      <c r="H248">
        <v>70</v>
      </c>
      <c r="I248">
        <v>70</v>
      </c>
      <c r="J248">
        <v>70</v>
      </c>
      <c r="K248" t="s">
        <v>268</v>
      </c>
      <c r="L248" s="2" t="s">
        <v>303</v>
      </c>
      <c r="M248" t="s">
        <v>300</v>
      </c>
      <c r="N248" s="9">
        <f t="shared" si="160"/>
        <v>7.7</v>
      </c>
      <c r="O248" s="9">
        <f t="shared" si="161"/>
        <v>6.49</v>
      </c>
      <c r="P248" s="9">
        <v>0</v>
      </c>
      <c r="Q248" s="9">
        <v>0</v>
      </c>
      <c r="R248" s="12">
        <f t="shared" si="162"/>
        <v>8</v>
      </c>
      <c r="S248" s="12">
        <f t="shared" si="163"/>
        <v>6</v>
      </c>
      <c r="T248" s="12">
        <f t="shared" si="164"/>
        <v>14</v>
      </c>
      <c r="U248" s="1" t="str">
        <f t="shared" si="165"/>
        <v>dragon</v>
      </c>
      <c r="V248" s="1" t="s">
        <v>8</v>
      </c>
      <c r="W248" t="s">
        <v>6</v>
      </c>
      <c r="X248" s="1" t="s">
        <v>4</v>
      </c>
      <c r="Y248" s="1" t="str">
        <f>B249</f>
        <v>Dragonite</v>
      </c>
      <c r="Z248" s="12">
        <f t="shared" si="159"/>
        <v>11</v>
      </c>
      <c r="AA248" t="str">
        <f t="shared" si="149"/>
        <v>Dragonair</v>
      </c>
      <c r="AB248"/>
      <c r="AC248" t="s">
        <v>589</v>
      </c>
      <c r="AD248" s="8" t="str">
        <f>VLOOKUP(AC248,moves!A:B,2,FALSE)</f>
        <v>water</v>
      </c>
      <c r="AE248" s="8">
        <f>VLOOKUP(AC248,moves!A:D,4,FALSE)</f>
        <v>4</v>
      </c>
      <c r="AF248" s="8" t="str">
        <f>VLOOKUP(AC248,moves!A:E,5,FALSE)</f>
        <v>For each other non-fainted Pokémon in your party with the move Surf: Attack strength is increased by 1.</v>
      </c>
      <c r="AG248" s="6">
        <v>0</v>
      </c>
      <c r="AH248" s="6">
        <v>0</v>
      </c>
      <c r="AI248" s="8" t="str" cm="1">
        <f t="array" ref="AI248">_xlfn.IFS(AG248=1, "starter", AH248=1, "legendary",T248&lt; 13, "weak",T248&lt; 17, "moderate", TRUE, "strong")</f>
        <v>moderate</v>
      </c>
      <c r="AK248">
        <v>2</v>
      </c>
      <c r="AL248" s="8">
        <v>0</v>
      </c>
      <c r="AM248" s="8">
        <v>0</v>
      </c>
    </row>
    <row r="249" spans="1:39" x14ac:dyDescent="0.25">
      <c r="A249" s="9">
        <v>149</v>
      </c>
      <c r="B249" t="s">
        <v>69</v>
      </c>
      <c r="C249" t="s">
        <v>67</v>
      </c>
      <c r="D249" t="s">
        <v>5</v>
      </c>
      <c r="E249">
        <v>91</v>
      </c>
      <c r="F249">
        <v>134</v>
      </c>
      <c r="G249">
        <v>95</v>
      </c>
      <c r="H249">
        <v>100</v>
      </c>
      <c r="I249">
        <v>100</v>
      </c>
      <c r="J249">
        <v>80</v>
      </c>
      <c r="K249" t="s">
        <v>268</v>
      </c>
      <c r="L249" s="2" t="s">
        <v>303</v>
      </c>
      <c r="M249" s="2" t="s">
        <v>300</v>
      </c>
      <c r="N249" s="9">
        <f t="shared" si="160"/>
        <v>10.9</v>
      </c>
      <c r="O249" s="9">
        <f t="shared" si="161"/>
        <v>9.49</v>
      </c>
      <c r="P249" s="9">
        <v>0</v>
      </c>
      <c r="Q249" s="9">
        <v>1</v>
      </c>
      <c r="R249" s="12">
        <f t="shared" si="162"/>
        <v>11</v>
      </c>
      <c r="S249" s="12">
        <f t="shared" si="163"/>
        <v>10</v>
      </c>
      <c r="T249" s="12">
        <f t="shared" si="164"/>
        <v>21</v>
      </c>
      <c r="U249" s="1" t="str">
        <f t="shared" si="165"/>
        <v>dragon</v>
      </c>
      <c r="V249" s="1" t="str">
        <f t="shared" ref="V249:V258" si="166">IF(D249 = 0, "", D249)</f>
        <v>flying</v>
      </c>
      <c r="W249" t="s">
        <v>6</v>
      </c>
      <c r="X249" s="1" t="s">
        <v>4</v>
      </c>
      <c r="Z249" s="12" t="str">
        <f t="shared" si="159"/>
        <v/>
      </c>
      <c r="AA249" t="str">
        <f t="shared" si="149"/>
        <v>Dragonite</v>
      </c>
      <c r="AB249"/>
      <c r="AC249" t="s">
        <v>598</v>
      </c>
      <c r="AD249" s="8" t="str">
        <f>VLOOKUP(AC249,moves!A:B,2,FALSE)</f>
        <v>dragon</v>
      </c>
      <c r="AE249" s="8">
        <f>VLOOKUP(AC249,moves!A:D,4,FALSE)</f>
        <v>5</v>
      </c>
      <c r="AF249" s="8" t="str">
        <f>VLOOKUP(AC249,moves!A:E,5,FALSE)</f>
        <v>If 2+ status symbols are rolled: Inflict the Paralysed status on the target.</v>
      </c>
      <c r="AG249" s="6">
        <v>0</v>
      </c>
      <c r="AH249" s="6">
        <v>0</v>
      </c>
      <c r="AI249" s="8" t="str" cm="1">
        <f t="array" ref="AI249">_xlfn.IFS(AG249=1, "starter", AH249=1, "legendary",T249&lt; 13, "weak",T249&lt; 17, "moderate", TRUE, "strong")</f>
        <v>strong</v>
      </c>
      <c r="AK249">
        <v>3</v>
      </c>
      <c r="AL249" s="8">
        <v>0</v>
      </c>
      <c r="AM249" s="8">
        <v>0</v>
      </c>
    </row>
    <row r="250" spans="1:39" s="8" customFormat="1" x14ac:dyDescent="0.25">
      <c r="A250" s="9">
        <v>163</v>
      </c>
      <c r="B250" s="8" t="s">
        <v>623</v>
      </c>
      <c r="C250" s="8" t="s">
        <v>8</v>
      </c>
      <c r="D250" s="8" t="s">
        <v>5</v>
      </c>
      <c r="E250" s="8">
        <v>60</v>
      </c>
      <c r="F250" s="8">
        <v>30</v>
      </c>
      <c r="G250" s="8">
        <v>30</v>
      </c>
      <c r="H250" s="8">
        <v>36</v>
      </c>
      <c r="I250" s="8">
        <v>56</v>
      </c>
      <c r="J250" s="8">
        <v>50</v>
      </c>
      <c r="K250" s="8" t="s">
        <v>625</v>
      </c>
      <c r="L250" s="10" t="s">
        <v>298</v>
      </c>
      <c r="M250" s="10" t="s">
        <v>300</v>
      </c>
      <c r="N250" s="9">
        <f t="shared" si="160"/>
        <v>4.0999999999999996</v>
      </c>
      <c r="O250" s="9">
        <f t="shared" si="161"/>
        <v>4.9799999999999995</v>
      </c>
      <c r="P250" s="9">
        <v>0</v>
      </c>
      <c r="Q250" s="9">
        <v>0</v>
      </c>
      <c r="R250" s="12">
        <f t="shared" si="162"/>
        <v>4</v>
      </c>
      <c r="S250" s="12">
        <f t="shared" si="163"/>
        <v>5</v>
      </c>
      <c r="T250" s="12">
        <f t="shared" si="164"/>
        <v>9</v>
      </c>
      <c r="U250" s="9" t="str">
        <f t="shared" si="165"/>
        <v>normal</v>
      </c>
      <c r="V250" s="9" t="str">
        <f t="shared" si="166"/>
        <v>flying</v>
      </c>
      <c r="W250" s="8" t="s">
        <v>26</v>
      </c>
      <c r="X250" s="9" t="s">
        <v>16</v>
      </c>
      <c r="Y250" s="9" t="str">
        <f>B251</f>
        <v>Noctowl</v>
      </c>
      <c r="Z250" s="12">
        <f t="shared" si="159"/>
        <v>7</v>
      </c>
      <c r="AA250" s="8" t="str">
        <f t="shared" si="149"/>
        <v>Hoothoot</v>
      </c>
      <c r="AC250" s="8" t="s">
        <v>499</v>
      </c>
      <c r="AD250" s="8" t="str">
        <f>VLOOKUP(AC250,moves!A:B,2,FALSE)</f>
        <v>psychic</v>
      </c>
      <c r="AE250" s="8">
        <f>VLOOKUP(AC250,moves!A:D,4,FALSE)</f>
        <v>2</v>
      </c>
      <c r="AF250" s="8" t="str">
        <f>VLOOKUP(AC250,moves!A:E,5,FALSE)</f>
        <v>Inflict the Confused status on the target.</v>
      </c>
      <c r="AG250" s="11">
        <v>0</v>
      </c>
      <c r="AH250" s="11">
        <v>0</v>
      </c>
      <c r="AI250" s="8" t="str" cm="1">
        <f t="array" ref="AI250">_xlfn.IFS(AG250=1, "starter", AH250=1, "legendary",T250&lt; 13, "weak",T250&lt; 17, "moderate", TRUE, "strong")</f>
        <v>weak</v>
      </c>
      <c r="AK250" s="8">
        <v>1</v>
      </c>
      <c r="AL250" s="8">
        <v>0</v>
      </c>
      <c r="AM250" s="8">
        <v>0</v>
      </c>
    </row>
    <row r="251" spans="1:39" s="8" customFormat="1" x14ac:dyDescent="0.25">
      <c r="A251" s="9">
        <v>164</v>
      </c>
      <c r="B251" s="8" t="s">
        <v>624</v>
      </c>
      <c r="C251" s="8" t="s">
        <v>8</v>
      </c>
      <c r="D251" s="8" t="s">
        <v>5</v>
      </c>
      <c r="E251" s="8">
        <v>100</v>
      </c>
      <c r="F251" s="8">
        <v>50</v>
      </c>
      <c r="G251" s="8">
        <v>50</v>
      </c>
      <c r="H251" s="8">
        <v>86</v>
      </c>
      <c r="I251" s="8">
        <v>96</v>
      </c>
      <c r="J251" s="8">
        <v>70</v>
      </c>
      <c r="K251" s="8" t="s">
        <v>625</v>
      </c>
      <c r="L251" s="10" t="s">
        <v>298</v>
      </c>
      <c r="M251" s="10" t="s">
        <v>300</v>
      </c>
      <c r="N251" s="9">
        <f t="shared" si="160"/>
        <v>7.6</v>
      </c>
      <c r="O251" s="9">
        <f t="shared" si="161"/>
        <v>8.379999999999999</v>
      </c>
      <c r="P251" s="9">
        <v>0</v>
      </c>
      <c r="Q251" s="9">
        <v>0</v>
      </c>
      <c r="R251" s="12">
        <f t="shared" si="162"/>
        <v>8</v>
      </c>
      <c r="S251" s="12">
        <f t="shared" si="163"/>
        <v>8</v>
      </c>
      <c r="T251" s="12">
        <f t="shared" si="164"/>
        <v>16</v>
      </c>
      <c r="U251" s="9" t="str">
        <f t="shared" si="165"/>
        <v>normal</v>
      </c>
      <c r="V251" s="9" t="str">
        <f t="shared" si="166"/>
        <v>flying</v>
      </c>
      <c r="W251" s="8" t="s">
        <v>26</v>
      </c>
      <c r="X251" s="9" t="s">
        <v>16</v>
      </c>
      <c r="Y251" s="9"/>
      <c r="Z251" s="12" t="str">
        <f t="shared" si="159"/>
        <v/>
      </c>
      <c r="AA251" s="8" t="str">
        <f t="shared" si="149"/>
        <v>Noctowl</v>
      </c>
      <c r="AC251" s="8" t="s">
        <v>518</v>
      </c>
      <c r="AD251" s="8" t="str">
        <f>VLOOKUP(AC251,moves!A:B,2,FALSE)</f>
        <v>flying</v>
      </c>
      <c r="AE251" s="8">
        <f>VLOOKUP(AC251,moves!A:D,4,FALSE)</f>
        <v>4</v>
      </c>
      <c r="AF251" s="8" t="str">
        <f>VLOOKUP(AC251,moves!A:E,5,FALSE)</f>
        <v>Critical hits deal +1 damage.</v>
      </c>
      <c r="AG251" s="11">
        <v>0</v>
      </c>
      <c r="AH251" s="11">
        <v>0</v>
      </c>
      <c r="AI251" s="8" t="str" cm="1">
        <f t="array" ref="AI251">_xlfn.IFS(AG251=1, "starter", AH251=1, "legendary",T251&lt; 13, "weak",T251&lt; 17, "moderate", TRUE, "strong")</f>
        <v>moderate</v>
      </c>
      <c r="AK251" s="8">
        <v>2</v>
      </c>
      <c r="AL251" s="8">
        <v>0</v>
      </c>
      <c r="AM251" s="8">
        <v>0</v>
      </c>
    </row>
    <row r="252" spans="1:39" s="8" customFormat="1" x14ac:dyDescent="0.25">
      <c r="A252" s="9">
        <v>278</v>
      </c>
      <c r="B252" s="8" t="s">
        <v>626</v>
      </c>
      <c r="C252" s="8" t="s">
        <v>6</v>
      </c>
      <c r="D252" s="8" t="s">
        <v>5</v>
      </c>
      <c r="E252" s="8">
        <v>40</v>
      </c>
      <c r="F252" s="8">
        <v>30</v>
      </c>
      <c r="G252" s="8">
        <v>30</v>
      </c>
      <c r="H252" s="8">
        <v>55</v>
      </c>
      <c r="I252" s="8">
        <v>30</v>
      </c>
      <c r="J252" s="8">
        <v>85</v>
      </c>
      <c r="K252" s="8" t="s">
        <v>628</v>
      </c>
      <c r="L252" s="10" t="s">
        <v>303</v>
      </c>
      <c r="M252" s="10" t="s">
        <v>302</v>
      </c>
      <c r="N252" s="9">
        <f t="shared" si="160"/>
        <v>6.45</v>
      </c>
      <c r="O252" s="9">
        <f t="shared" si="161"/>
        <v>3.4</v>
      </c>
      <c r="P252" s="9">
        <v>0</v>
      </c>
      <c r="Q252" s="9">
        <v>0</v>
      </c>
      <c r="R252" s="12">
        <f t="shared" si="162"/>
        <v>6</v>
      </c>
      <c r="S252" s="12">
        <f t="shared" si="163"/>
        <v>3</v>
      </c>
      <c r="T252" s="12">
        <f t="shared" si="164"/>
        <v>9</v>
      </c>
      <c r="U252" s="9" t="str">
        <f t="shared" si="165"/>
        <v>water</v>
      </c>
      <c r="V252" s="9" t="str">
        <f t="shared" si="166"/>
        <v>flying</v>
      </c>
      <c r="W252" s="8" t="s">
        <v>14</v>
      </c>
      <c r="X252" s="9" t="s">
        <v>8</v>
      </c>
      <c r="Y252" s="9" t="str">
        <f>B253</f>
        <v>Pelipper</v>
      </c>
      <c r="Z252" s="12">
        <f t="shared" si="159"/>
        <v>7</v>
      </c>
      <c r="AA252" s="8" t="str">
        <f t="shared" si="149"/>
        <v>Wingull</v>
      </c>
      <c r="AC252" s="8" t="s">
        <v>617</v>
      </c>
      <c r="AD252" s="8" t="str">
        <f>VLOOKUP(AC252,moves!A:B,2,FALSE)</f>
        <v>water</v>
      </c>
      <c r="AE252" s="8">
        <f>VLOOKUP(AC252,moves!A:D,4,FALSE)</f>
        <v>2</v>
      </c>
      <c r="AF252" s="8" t="str">
        <f>VLOOKUP(AC252,moves!A:E,5,FALSE)</f>
        <v>When the target is next attacked, Ice-type and Electric-type moves deal double damage.</v>
      </c>
      <c r="AG252" s="11">
        <v>0</v>
      </c>
      <c r="AH252" s="11">
        <v>0</v>
      </c>
      <c r="AI252" s="8" t="str" cm="1">
        <f t="array" ref="AI252">_xlfn.IFS(AG252=1, "starter", AH252=1, "legendary",T252&lt; 13, "weak",T252&lt; 17, "moderate", TRUE, "strong")</f>
        <v>weak</v>
      </c>
      <c r="AK252" s="8">
        <v>1</v>
      </c>
      <c r="AL252" s="8">
        <v>0</v>
      </c>
      <c r="AM252" s="8">
        <v>0</v>
      </c>
    </row>
    <row r="253" spans="1:39" s="8" customFormat="1" x14ac:dyDescent="0.25">
      <c r="A253" s="9">
        <v>279</v>
      </c>
      <c r="B253" s="8" t="s">
        <v>627</v>
      </c>
      <c r="C253" s="8" t="s">
        <v>6</v>
      </c>
      <c r="D253" s="8" t="s">
        <v>5</v>
      </c>
      <c r="E253" s="8">
        <v>60</v>
      </c>
      <c r="F253" s="8">
        <v>50</v>
      </c>
      <c r="G253" s="8">
        <v>100</v>
      </c>
      <c r="H253" s="8">
        <v>95</v>
      </c>
      <c r="I253" s="8">
        <v>70</v>
      </c>
      <c r="J253" s="8">
        <v>65</v>
      </c>
      <c r="K253" s="8" t="s">
        <v>629</v>
      </c>
      <c r="L253" s="10" t="s">
        <v>303</v>
      </c>
      <c r="M253" s="10" t="s">
        <v>302</v>
      </c>
      <c r="N253" s="9">
        <f t="shared" si="160"/>
        <v>7.85</v>
      </c>
      <c r="O253" s="9">
        <f t="shared" si="161"/>
        <v>7.5</v>
      </c>
      <c r="P253" s="9">
        <v>0</v>
      </c>
      <c r="Q253" s="9">
        <v>0</v>
      </c>
      <c r="R253" s="12">
        <f t="shared" si="162"/>
        <v>8</v>
      </c>
      <c r="S253" s="12">
        <f t="shared" si="163"/>
        <v>8</v>
      </c>
      <c r="T253" s="12">
        <f t="shared" si="164"/>
        <v>16</v>
      </c>
      <c r="U253" s="9" t="str">
        <f t="shared" si="165"/>
        <v>water</v>
      </c>
      <c r="V253" s="9" t="str">
        <f t="shared" si="166"/>
        <v>flying</v>
      </c>
      <c r="W253" s="8" t="s">
        <v>14</v>
      </c>
      <c r="X253" s="9" t="s">
        <v>8</v>
      </c>
      <c r="Y253" s="9"/>
      <c r="Z253" s="12" t="str">
        <f t="shared" si="159"/>
        <v/>
      </c>
      <c r="AA253" s="8" t="str">
        <f t="shared" si="149"/>
        <v>Pelipper</v>
      </c>
      <c r="AC253" s="8" t="s">
        <v>630</v>
      </c>
      <c r="AD253" s="8" t="str">
        <f>VLOOKUP(AC253,moves!A:B,2,FALSE)</f>
        <v>normal</v>
      </c>
      <c r="AE253" s="8">
        <f>VLOOKUP(AC253,moves!A:D,4,FALSE)</f>
        <v>2</v>
      </c>
      <c r="AF253" s="8" t="str">
        <f>VLOOKUP(AC253,moves!A:E,5,FALSE)</f>
        <v>If this move was used last turn, increase attack strength to 5 or heal 5 damage from the user.</v>
      </c>
      <c r="AG253" s="11">
        <v>0</v>
      </c>
      <c r="AH253" s="11">
        <v>0</v>
      </c>
      <c r="AI253" s="8" t="str" cm="1">
        <f t="array" ref="AI253">_xlfn.IFS(AG253=1, "starter", AH253=1, "legendary",T253&lt; 13, "weak",T253&lt; 17, "moderate", TRUE, "strong")</f>
        <v>moderate</v>
      </c>
      <c r="AK253" s="8">
        <v>2</v>
      </c>
      <c r="AL253" s="8">
        <v>0</v>
      </c>
      <c r="AM253" s="8">
        <v>0</v>
      </c>
    </row>
    <row r="254" spans="1:39" s="8" customFormat="1" x14ac:dyDescent="0.25">
      <c r="A254" s="9">
        <v>203</v>
      </c>
      <c r="B254" s="8" t="s">
        <v>631</v>
      </c>
      <c r="C254" s="8" t="s">
        <v>8</v>
      </c>
      <c r="D254" s="8" t="s">
        <v>26</v>
      </c>
      <c r="E254" s="8">
        <v>70</v>
      </c>
      <c r="F254" s="8">
        <v>80</v>
      </c>
      <c r="G254" s="8">
        <v>65</v>
      </c>
      <c r="H254" s="8">
        <v>90</v>
      </c>
      <c r="I254" s="8">
        <v>65</v>
      </c>
      <c r="J254" s="8">
        <v>85</v>
      </c>
      <c r="K254" s="8" t="s">
        <v>632</v>
      </c>
      <c r="L254" s="10" t="s">
        <v>301</v>
      </c>
      <c r="M254" s="10" t="s">
        <v>300</v>
      </c>
      <c r="N254" s="9">
        <f t="shared" si="160"/>
        <v>8.6999999999999993</v>
      </c>
      <c r="O254" s="9">
        <f t="shared" si="161"/>
        <v>6.7</v>
      </c>
      <c r="P254" s="9">
        <v>0</v>
      </c>
      <c r="Q254" s="9">
        <v>0</v>
      </c>
      <c r="R254" s="12">
        <f t="shared" si="162"/>
        <v>9</v>
      </c>
      <c r="S254" s="12">
        <f t="shared" si="163"/>
        <v>7</v>
      </c>
      <c r="T254" s="12">
        <f t="shared" si="164"/>
        <v>16</v>
      </c>
      <c r="U254" s="9" t="str">
        <f t="shared" si="165"/>
        <v>normal</v>
      </c>
      <c r="V254" s="9" t="str">
        <f t="shared" si="166"/>
        <v>psychic</v>
      </c>
      <c r="W254" s="8" t="s">
        <v>9</v>
      </c>
      <c r="X254" s="9" t="s">
        <v>11</v>
      </c>
      <c r="Y254" s="9"/>
      <c r="Z254" s="12" t="str">
        <f t="shared" si="159"/>
        <v/>
      </c>
      <c r="AA254" s="8" t="str">
        <f t="shared" si="149"/>
        <v>Girafarig</v>
      </c>
      <c r="AC254" s="8" t="s">
        <v>498</v>
      </c>
      <c r="AD254" s="8" t="str">
        <f>VLOOKUP(AC254,moves!A:B,2,FALSE)</f>
        <v>psychic</v>
      </c>
      <c r="AE254" s="8">
        <f>VLOOKUP(AC254,moves!A:D,4,FALSE)</f>
        <v>4</v>
      </c>
      <c r="AF254" s="8" t="str">
        <f>VLOOKUP(AC254,moves!A:E,5,FALSE)</f>
        <v>If a status symbol is rolled: Inflict the Confused status on the target.</v>
      </c>
      <c r="AG254" s="11">
        <v>0</v>
      </c>
      <c r="AH254" s="11">
        <v>0</v>
      </c>
      <c r="AI254" s="8" t="str" cm="1">
        <f t="array" ref="AI254">_xlfn.IFS(AG254=1, "starter", AH254=1, "legendary",T254&lt; 13, "weak",T254&lt; 17, "moderate", TRUE, "strong")</f>
        <v>moderate</v>
      </c>
      <c r="AK254" s="8">
        <v>1</v>
      </c>
      <c r="AL254" s="8">
        <v>0</v>
      </c>
      <c r="AM254" s="8">
        <v>0</v>
      </c>
    </row>
    <row r="255" spans="1:39" s="8" customFormat="1" x14ac:dyDescent="0.25">
      <c r="A255" s="9">
        <v>72</v>
      </c>
      <c r="B255" s="8" t="s">
        <v>633</v>
      </c>
      <c r="C255" s="8" t="s">
        <v>6</v>
      </c>
      <c r="D255" s="8" t="s">
        <v>3</v>
      </c>
      <c r="E255" s="8">
        <v>40</v>
      </c>
      <c r="F255" s="8">
        <v>40</v>
      </c>
      <c r="G255" s="8">
        <v>35</v>
      </c>
      <c r="H255" s="8">
        <v>50</v>
      </c>
      <c r="I255" s="8">
        <v>100</v>
      </c>
      <c r="J255" s="8">
        <v>70</v>
      </c>
      <c r="K255" s="8" t="s">
        <v>635</v>
      </c>
      <c r="L255" s="10" t="s">
        <v>303</v>
      </c>
      <c r="M255" s="10" t="s">
        <v>300</v>
      </c>
      <c r="N255" s="9">
        <f t="shared" si="160"/>
        <v>5.7</v>
      </c>
      <c r="O255" s="9">
        <f t="shared" si="161"/>
        <v>5.65</v>
      </c>
      <c r="P255" s="9">
        <v>0</v>
      </c>
      <c r="Q255" s="9">
        <v>0</v>
      </c>
      <c r="R255" s="12">
        <f t="shared" si="162"/>
        <v>6</v>
      </c>
      <c r="S255" s="12">
        <f t="shared" si="163"/>
        <v>6</v>
      </c>
      <c r="T255" s="12">
        <f t="shared" si="164"/>
        <v>12</v>
      </c>
      <c r="U255" s="9" t="str">
        <f t="shared" si="165"/>
        <v>water</v>
      </c>
      <c r="V255" s="9" t="str">
        <f t="shared" si="166"/>
        <v>poison</v>
      </c>
      <c r="W255" s="8" t="s">
        <v>8</v>
      </c>
      <c r="X255" s="9" t="s">
        <v>14</v>
      </c>
      <c r="Y255" s="9" t="str">
        <f>B256</f>
        <v>Tentacruel</v>
      </c>
      <c r="Z255" s="12">
        <f t="shared" si="159"/>
        <v>8</v>
      </c>
      <c r="AA255" s="8" t="str">
        <f t="shared" si="149"/>
        <v>Tentacool</v>
      </c>
      <c r="AC255" s="8" t="s">
        <v>546</v>
      </c>
      <c r="AD255" s="8" t="str">
        <f>VLOOKUP(AC255,moves!A:B,2,FALSE)</f>
        <v>water</v>
      </c>
      <c r="AE255" s="8">
        <f>VLOOKUP(AC255,moves!A:D,4,FALSE)</f>
        <v>3</v>
      </c>
      <c r="AF255" s="8" t="str">
        <f>VLOOKUP(AC255,moves!A:E,5,FALSE)</f>
        <v>If a status symbol is rolled: Inflict the Confused status on the target.</v>
      </c>
      <c r="AG255" s="11">
        <v>0</v>
      </c>
      <c r="AH255" s="11">
        <v>0</v>
      </c>
      <c r="AI255" s="8" t="str" cm="1">
        <f t="array" ref="AI255">_xlfn.IFS(AG255=1, "starter", AH255=1, "legendary",T255&lt; 13, "weak",T255&lt; 17, "moderate", TRUE, "strong")</f>
        <v>weak</v>
      </c>
      <c r="AK255" s="8">
        <v>1</v>
      </c>
      <c r="AL255" s="8">
        <v>0</v>
      </c>
      <c r="AM255" s="8">
        <v>0</v>
      </c>
    </row>
    <row r="256" spans="1:39" s="8" customFormat="1" x14ac:dyDescent="0.25">
      <c r="A256" s="9">
        <v>73</v>
      </c>
      <c r="B256" s="8" t="s">
        <v>634</v>
      </c>
      <c r="C256" s="8" t="s">
        <v>6</v>
      </c>
      <c r="D256" s="8" t="s">
        <v>3</v>
      </c>
      <c r="E256" s="8">
        <v>80</v>
      </c>
      <c r="F256" s="8">
        <v>70</v>
      </c>
      <c r="G256" s="8">
        <v>65</v>
      </c>
      <c r="H256" s="8">
        <v>80</v>
      </c>
      <c r="I256" s="8">
        <v>120</v>
      </c>
      <c r="J256" s="8">
        <v>100</v>
      </c>
      <c r="K256" s="8" t="s">
        <v>635</v>
      </c>
      <c r="L256" s="10" t="s">
        <v>303</v>
      </c>
      <c r="M256" s="10" t="s">
        <v>300</v>
      </c>
      <c r="N256" s="9">
        <f t="shared" si="160"/>
        <v>8.6999999999999993</v>
      </c>
      <c r="O256" s="9">
        <f t="shared" si="161"/>
        <v>8.75</v>
      </c>
      <c r="P256" s="9">
        <v>0</v>
      </c>
      <c r="Q256" s="9">
        <v>0</v>
      </c>
      <c r="R256" s="12">
        <f t="shared" si="162"/>
        <v>9</v>
      </c>
      <c r="S256" s="12">
        <f t="shared" si="163"/>
        <v>9</v>
      </c>
      <c r="T256" s="12">
        <f t="shared" si="164"/>
        <v>18</v>
      </c>
      <c r="U256" s="9" t="str">
        <f t="shared" si="165"/>
        <v>water</v>
      </c>
      <c r="V256" s="9" t="str">
        <f t="shared" si="166"/>
        <v>poison</v>
      </c>
      <c r="W256" s="8" t="s">
        <v>8</v>
      </c>
      <c r="X256" s="9" t="s">
        <v>14</v>
      </c>
      <c r="Y256" s="9"/>
      <c r="Z256" s="12" t="str">
        <f t="shared" si="159"/>
        <v/>
      </c>
      <c r="AA256" s="8" t="str">
        <f t="shared" si="149"/>
        <v>Tentacruel</v>
      </c>
      <c r="AC256" s="8" t="s">
        <v>636</v>
      </c>
      <c r="AD256" s="8" t="str">
        <f>VLOOKUP(AC256,moves!A:B,2,FALSE)</f>
        <v>poison</v>
      </c>
      <c r="AE256" s="8">
        <f>VLOOKUP(AC256,moves!A:D,4,FALSE)</f>
        <v>5</v>
      </c>
      <c r="AF256" s="8" t="str">
        <f>VLOOKUP(AC256,moves!A:E,5,FALSE)</f>
        <v>If 2+ status symbols are rolled: Inflict the Poisoned status on the target.</v>
      </c>
      <c r="AG256" s="11">
        <v>0</v>
      </c>
      <c r="AH256" s="11">
        <v>0</v>
      </c>
      <c r="AI256" s="8" t="str" cm="1">
        <f t="array" ref="AI256">_xlfn.IFS(AG256=1, "starter", AH256=1, "legendary",T256&lt; 13, "weak",T256&lt; 17, "moderate", TRUE, "strong")</f>
        <v>strong</v>
      </c>
      <c r="AK256" s="8">
        <v>2</v>
      </c>
      <c r="AL256" s="8">
        <v>0</v>
      </c>
      <c r="AM256" s="8">
        <v>0</v>
      </c>
    </row>
    <row r="257" spans="1:39" s="8" customFormat="1" x14ac:dyDescent="0.25">
      <c r="A257" s="9">
        <v>339</v>
      </c>
      <c r="B257" s="8" t="s">
        <v>637</v>
      </c>
      <c r="C257" s="8" t="s">
        <v>6</v>
      </c>
      <c r="D257" s="8" t="s">
        <v>13</v>
      </c>
      <c r="E257" s="8">
        <v>50</v>
      </c>
      <c r="F257" s="8">
        <v>48</v>
      </c>
      <c r="G257" s="8">
        <v>43</v>
      </c>
      <c r="H257" s="8">
        <v>46</v>
      </c>
      <c r="I257" s="8">
        <v>41</v>
      </c>
      <c r="J257" s="8">
        <v>60</v>
      </c>
      <c r="K257" s="8" t="s">
        <v>639</v>
      </c>
      <c r="L257" s="10" t="s">
        <v>303</v>
      </c>
      <c r="M257" s="10" t="s">
        <v>300</v>
      </c>
      <c r="N257" s="9">
        <f t="shared" si="160"/>
        <v>5.26</v>
      </c>
      <c r="O257" s="9">
        <f t="shared" si="161"/>
        <v>4.5199999999999996</v>
      </c>
      <c r="P257" s="9">
        <v>0</v>
      </c>
      <c r="Q257" s="9">
        <v>0</v>
      </c>
      <c r="R257" s="12">
        <f t="shared" si="162"/>
        <v>5</v>
      </c>
      <c r="S257" s="12">
        <f t="shared" si="163"/>
        <v>5</v>
      </c>
      <c r="T257" s="12">
        <f t="shared" si="164"/>
        <v>10</v>
      </c>
      <c r="U257" s="9" t="str">
        <f t="shared" si="165"/>
        <v>water</v>
      </c>
      <c r="V257" s="9" t="str">
        <f t="shared" si="166"/>
        <v>ground</v>
      </c>
      <c r="W257" s="8" t="s">
        <v>26</v>
      </c>
      <c r="X257" s="9" t="s">
        <v>8</v>
      </c>
      <c r="Y257" s="9" t="str">
        <f>B258</f>
        <v>Whiscash</v>
      </c>
      <c r="Z257" s="12">
        <f t="shared" si="159"/>
        <v>6</v>
      </c>
      <c r="AA257" s="8" t="str">
        <f t="shared" ref="AA257:AA346" si="167">B257</f>
        <v>Barboach</v>
      </c>
      <c r="AC257" s="8" t="s">
        <v>546</v>
      </c>
      <c r="AD257" s="8" t="str">
        <f>VLOOKUP(AC257,moves!A:B,2,FALSE)</f>
        <v>water</v>
      </c>
      <c r="AE257" s="8">
        <f>VLOOKUP(AC257,moves!A:D,4,FALSE)</f>
        <v>3</v>
      </c>
      <c r="AF257" s="8" t="str">
        <f>VLOOKUP(AC257,moves!A:E,5,FALSE)</f>
        <v>If a status symbol is rolled: Inflict the Confused status on the target.</v>
      </c>
      <c r="AG257" s="11">
        <v>0</v>
      </c>
      <c r="AH257" s="11">
        <v>0</v>
      </c>
      <c r="AI257" s="8" t="str" cm="1">
        <f t="array" ref="AI257">_xlfn.IFS(AG257=1, "starter", AH257=1, "legendary",T257&lt; 13, "weak",T257&lt; 17, "moderate", TRUE, "strong")</f>
        <v>weak</v>
      </c>
      <c r="AK257" s="8">
        <v>1</v>
      </c>
      <c r="AL257" s="8">
        <v>0</v>
      </c>
      <c r="AM257" s="8">
        <v>0</v>
      </c>
    </row>
    <row r="258" spans="1:39" s="8" customFormat="1" x14ac:dyDescent="0.25">
      <c r="A258" s="9">
        <v>340</v>
      </c>
      <c r="B258" s="8" t="s">
        <v>638</v>
      </c>
      <c r="C258" s="8" t="s">
        <v>6</v>
      </c>
      <c r="D258" s="8" t="s">
        <v>13</v>
      </c>
      <c r="E258" s="8">
        <v>110</v>
      </c>
      <c r="F258" s="8">
        <v>78</v>
      </c>
      <c r="G258" s="8">
        <v>73</v>
      </c>
      <c r="H258" s="8">
        <v>76</v>
      </c>
      <c r="I258" s="8">
        <v>71</v>
      </c>
      <c r="J258" s="8">
        <v>60</v>
      </c>
      <c r="K258" s="8" t="s">
        <v>639</v>
      </c>
      <c r="L258" s="10" t="s">
        <v>303</v>
      </c>
      <c r="M258" s="10" t="s">
        <v>300</v>
      </c>
      <c r="N258" s="9">
        <f t="shared" si="160"/>
        <v>7.06</v>
      </c>
      <c r="O258" s="9">
        <f t="shared" si="161"/>
        <v>8.7200000000000006</v>
      </c>
      <c r="P258" s="9">
        <v>0</v>
      </c>
      <c r="Q258" s="9">
        <v>0</v>
      </c>
      <c r="R258" s="12">
        <f t="shared" si="162"/>
        <v>7</v>
      </c>
      <c r="S258" s="12">
        <f t="shared" si="163"/>
        <v>9</v>
      </c>
      <c r="T258" s="12">
        <f t="shared" si="164"/>
        <v>16</v>
      </c>
      <c r="U258" s="9" t="str">
        <f t="shared" si="165"/>
        <v>water</v>
      </c>
      <c r="V258" s="9" t="str">
        <f t="shared" si="166"/>
        <v>ground</v>
      </c>
      <c r="W258" s="8" t="s">
        <v>26</v>
      </c>
      <c r="X258" s="9" t="s">
        <v>8</v>
      </c>
      <c r="Y258" s="9"/>
      <c r="Z258" s="12" t="str">
        <f t="shared" si="159"/>
        <v/>
      </c>
      <c r="AA258" s="8" t="str">
        <f t="shared" si="167"/>
        <v>Whiscash</v>
      </c>
      <c r="AC258" s="8" t="s">
        <v>487</v>
      </c>
      <c r="AD258" s="8" t="str">
        <f>VLOOKUP(AC258,moves!A:B,2,FALSE)</f>
        <v>ground</v>
      </c>
      <c r="AE258" s="8">
        <f>VLOOKUP(AC258,moves!A:D,4,FALSE)</f>
        <v>5</v>
      </c>
      <c r="AF258" s="8" t="str">
        <f>VLOOKUP(AC258,moves!A:E,5,FALSE)</f>
        <v>If 2+ status symbols are rolled: Deal 2 damage to a Pokémon in the target party that is not the target.</v>
      </c>
      <c r="AG258" s="11">
        <v>0</v>
      </c>
      <c r="AH258" s="11">
        <v>0</v>
      </c>
      <c r="AI258" s="8" t="str" cm="1">
        <f t="array" ref="AI258">_xlfn.IFS(AG258=1, "starter", AH258=1, "legendary",T258&lt; 13, "weak",T258&lt; 17, "moderate", TRUE, "strong")</f>
        <v>moderate</v>
      </c>
      <c r="AK258" s="8">
        <v>2</v>
      </c>
      <c r="AL258" s="8">
        <v>0</v>
      </c>
      <c r="AM258" s="8">
        <v>0</v>
      </c>
    </row>
    <row r="259" spans="1:39" s="8" customFormat="1" x14ac:dyDescent="0.25">
      <c r="A259" s="9">
        <v>54</v>
      </c>
      <c r="B259" s="8" t="s">
        <v>641</v>
      </c>
      <c r="C259" s="8" t="s">
        <v>6</v>
      </c>
      <c r="E259" s="8">
        <v>50</v>
      </c>
      <c r="F259" s="8">
        <v>52</v>
      </c>
      <c r="G259" s="8">
        <v>48</v>
      </c>
      <c r="H259" s="8">
        <v>65</v>
      </c>
      <c r="I259" s="8">
        <v>50</v>
      </c>
      <c r="J259" s="8">
        <v>55</v>
      </c>
      <c r="K259" s="8" t="s">
        <v>643</v>
      </c>
      <c r="L259" s="10" t="s">
        <v>301</v>
      </c>
      <c r="M259" s="10" t="s">
        <v>300</v>
      </c>
      <c r="N259" s="9">
        <f t="shared" si="160"/>
        <v>5.9700000000000006</v>
      </c>
      <c r="O259" s="9">
        <f t="shared" si="161"/>
        <v>4.9399999999999995</v>
      </c>
      <c r="P259" s="9">
        <v>0</v>
      </c>
      <c r="Q259" s="9">
        <v>0</v>
      </c>
      <c r="R259" s="12">
        <f t="shared" si="162"/>
        <v>6</v>
      </c>
      <c r="S259" s="12">
        <f t="shared" si="163"/>
        <v>5</v>
      </c>
      <c r="T259" s="12">
        <f t="shared" si="164"/>
        <v>11</v>
      </c>
      <c r="U259" s="9" t="str">
        <f t="shared" si="165"/>
        <v>water</v>
      </c>
      <c r="V259" s="9" t="s">
        <v>26</v>
      </c>
      <c r="W259" s="8" t="s">
        <v>8</v>
      </c>
      <c r="X259" s="9" t="s">
        <v>14</v>
      </c>
      <c r="Y259" s="9" t="str">
        <f>B260</f>
        <v>Golduck</v>
      </c>
      <c r="Z259" s="12">
        <f t="shared" si="159"/>
        <v>7</v>
      </c>
      <c r="AA259" s="8" t="str">
        <f t="shared" si="167"/>
        <v>Psyduck</v>
      </c>
      <c r="AC259" s="8" t="s">
        <v>499</v>
      </c>
      <c r="AD259" s="8" t="str">
        <f>VLOOKUP(AC259,moves!A:B,2,FALSE)</f>
        <v>psychic</v>
      </c>
      <c r="AE259" s="8">
        <f>VLOOKUP(AC259,moves!A:D,4,FALSE)</f>
        <v>2</v>
      </c>
      <c r="AF259" s="8" t="str">
        <f>VLOOKUP(AC259,moves!A:E,5,FALSE)</f>
        <v>Inflict the Confused status on the target.</v>
      </c>
      <c r="AG259" s="11">
        <v>0</v>
      </c>
      <c r="AH259" s="11">
        <v>0</v>
      </c>
      <c r="AI259" s="8" t="str" cm="1">
        <f t="array" ref="AI259">_xlfn.IFS(AG259=1, "starter", AH259=1, "legendary",T259&lt; 13, "weak",T259&lt; 17, "moderate", TRUE, "strong")</f>
        <v>weak</v>
      </c>
      <c r="AK259" s="8">
        <v>1</v>
      </c>
      <c r="AL259" s="8">
        <v>0</v>
      </c>
      <c r="AM259" s="8">
        <v>0</v>
      </c>
    </row>
    <row r="260" spans="1:39" s="8" customFormat="1" x14ac:dyDescent="0.25">
      <c r="A260" s="9">
        <v>55</v>
      </c>
      <c r="B260" s="8" t="s">
        <v>642</v>
      </c>
      <c r="C260" s="8" t="s">
        <v>6</v>
      </c>
      <c r="E260" s="8">
        <v>80</v>
      </c>
      <c r="F260" s="8">
        <v>82</v>
      </c>
      <c r="G260" s="8">
        <v>78</v>
      </c>
      <c r="H260" s="8">
        <v>95</v>
      </c>
      <c r="I260" s="8">
        <v>80</v>
      </c>
      <c r="J260" s="8">
        <v>85</v>
      </c>
      <c r="K260" s="8" t="s">
        <v>643</v>
      </c>
      <c r="L260" s="10" t="s">
        <v>301</v>
      </c>
      <c r="M260" s="10" t="s">
        <v>300</v>
      </c>
      <c r="N260" s="9">
        <f t="shared" si="160"/>
        <v>8.9700000000000006</v>
      </c>
      <c r="O260" s="9">
        <f t="shared" si="161"/>
        <v>7.94</v>
      </c>
      <c r="P260" s="9">
        <v>0</v>
      </c>
      <c r="Q260" s="9">
        <v>0</v>
      </c>
      <c r="R260" s="12">
        <f t="shared" si="162"/>
        <v>9</v>
      </c>
      <c r="S260" s="12">
        <f t="shared" si="163"/>
        <v>8</v>
      </c>
      <c r="T260" s="12">
        <f t="shared" si="164"/>
        <v>17</v>
      </c>
      <c r="U260" s="9" t="str">
        <f t="shared" si="165"/>
        <v>water</v>
      </c>
      <c r="V260" s="9" t="s">
        <v>26</v>
      </c>
      <c r="W260" s="8" t="s">
        <v>8</v>
      </c>
      <c r="X260" s="9" t="s">
        <v>14</v>
      </c>
      <c r="Y260" s="9"/>
      <c r="Z260" s="12" t="str">
        <f t="shared" si="159"/>
        <v/>
      </c>
      <c r="AA260" s="8" t="str">
        <f t="shared" si="167"/>
        <v>Golduck</v>
      </c>
      <c r="AC260" s="8" t="s">
        <v>482</v>
      </c>
      <c r="AD260" s="8" t="str">
        <f>VLOOKUP(AC260,moves!A:B,2,FALSE)</f>
        <v>water</v>
      </c>
      <c r="AE260" s="8">
        <f>VLOOKUP(AC260,moves!A:D,4,FALSE)</f>
        <v>5</v>
      </c>
      <c r="AF260" s="8" t="str">
        <f>VLOOKUP(AC260,moves!A:E,5,FALSE)</f>
        <v>If 2+ status symbols are rolled: Inflict the Confused status on the target.</v>
      </c>
      <c r="AG260" s="11">
        <v>0</v>
      </c>
      <c r="AH260" s="11">
        <v>0</v>
      </c>
      <c r="AI260" s="8" t="str" cm="1">
        <f t="array" ref="AI260">_xlfn.IFS(AG260=1, "starter", AH260=1, "legendary",T260&lt; 13, "weak",T260&lt; 17, "moderate", TRUE, "strong")</f>
        <v>strong</v>
      </c>
      <c r="AK260" s="8">
        <v>2</v>
      </c>
      <c r="AL260" s="8">
        <v>0</v>
      </c>
      <c r="AM260" s="8">
        <v>0</v>
      </c>
    </row>
    <row r="261" spans="1:39" s="8" customFormat="1" x14ac:dyDescent="0.25">
      <c r="A261" s="9">
        <v>118</v>
      </c>
      <c r="B261" s="8" t="s">
        <v>644</v>
      </c>
      <c r="C261" s="8" t="s">
        <v>6</v>
      </c>
      <c r="E261" s="8">
        <v>45</v>
      </c>
      <c r="F261" s="8">
        <v>67</v>
      </c>
      <c r="G261" s="8">
        <v>60</v>
      </c>
      <c r="H261" s="8">
        <v>35</v>
      </c>
      <c r="I261" s="8">
        <v>50</v>
      </c>
      <c r="J261" s="8">
        <v>63</v>
      </c>
      <c r="K261" s="8" t="s">
        <v>646</v>
      </c>
      <c r="L261" s="10" t="s">
        <v>303</v>
      </c>
      <c r="M261" s="10" t="s">
        <v>302</v>
      </c>
      <c r="N261" s="9">
        <f t="shared" si="160"/>
        <v>6.2200000000000006</v>
      </c>
      <c r="O261" s="9">
        <f t="shared" si="161"/>
        <v>5.0999999999999996</v>
      </c>
      <c r="P261" s="9">
        <v>0</v>
      </c>
      <c r="Q261" s="9">
        <v>0</v>
      </c>
      <c r="R261" s="12">
        <f t="shared" si="162"/>
        <v>6</v>
      </c>
      <c r="S261" s="12">
        <f t="shared" si="163"/>
        <v>5</v>
      </c>
      <c r="T261" s="12">
        <f t="shared" si="164"/>
        <v>11</v>
      </c>
      <c r="U261" s="9" t="str">
        <f t="shared" ref="U261:U328" si="168">C261</f>
        <v>water</v>
      </c>
      <c r="V261" s="9" t="s">
        <v>8</v>
      </c>
      <c r="W261" s="8" t="s">
        <v>7</v>
      </c>
      <c r="X261" s="9" t="s">
        <v>14</v>
      </c>
      <c r="Y261" s="9" t="str">
        <f>B262</f>
        <v>Seaking</v>
      </c>
      <c r="Z261" s="12">
        <f t="shared" si="159"/>
        <v>6</v>
      </c>
      <c r="AA261" s="8" t="str">
        <f t="shared" si="167"/>
        <v>Goldeen</v>
      </c>
      <c r="AC261" s="8" t="s">
        <v>617</v>
      </c>
      <c r="AD261" s="8" t="str">
        <f>VLOOKUP(AC261,moves!A:B,2,FALSE)</f>
        <v>water</v>
      </c>
      <c r="AE261" s="8">
        <f>VLOOKUP(AC261,moves!A:D,4,FALSE)</f>
        <v>2</v>
      </c>
      <c r="AF261" s="8" t="str">
        <f>VLOOKUP(AC261,moves!A:E,5,FALSE)</f>
        <v>When the target is next attacked, Ice-type and Electric-type moves deal double damage.</v>
      </c>
      <c r="AG261" s="11">
        <v>0</v>
      </c>
      <c r="AH261" s="11">
        <v>0</v>
      </c>
      <c r="AI261" s="8" t="str" cm="1">
        <f t="array" ref="AI261">_xlfn.IFS(AG261=1, "starter", AH261=1, "legendary",T261&lt; 13, "weak",T261&lt; 17, "moderate", TRUE, "strong")</f>
        <v>weak</v>
      </c>
      <c r="AK261" s="8">
        <v>1</v>
      </c>
      <c r="AL261" s="8">
        <v>0</v>
      </c>
      <c r="AM261" s="8">
        <v>0</v>
      </c>
    </row>
    <row r="262" spans="1:39" s="8" customFormat="1" x14ac:dyDescent="0.25">
      <c r="A262" s="9">
        <v>119</v>
      </c>
      <c r="B262" s="8" t="s">
        <v>645</v>
      </c>
      <c r="C262" s="8" t="s">
        <v>6</v>
      </c>
      <c r="E262" s="8">
        <v>80</v>
      </c>
      <c r="F262" s="8">
        <v>92</v>
      </c>
      <c r="G262" s="8">
        <v>65</v>
      </c>
      <c r="H262" s="8">
        <v>65</v>
      </c>
      <c r="I262" s="8">
        <v>80</v>
      </c>
      <c r="J262" s="8">
        <v>68</v>
      </c>
      <c r="K262" s="8" t="s">
        <v>646</v>
      </c>
      <c r="L262" s="10" t="s">
        <v>303</v>
      </c>
      <c r="M262" s="10" t="s">
        <v>302</v>
      </c>
      <c r="N262" s="9">
        <f t="shared" si="160"/>
        <v>7.9700000000000006</v>
      </c>
      <c r="O262" s="9">
        <f t="shared" si="161"/>
        <v>7.55</v>
      </c>
      <c r="P262" s="9">
        <v>0</v>
      </c>
      <c r="Q262" s="9">
        <v>0</v>
      </c>
      <c r="R262" s="12">
        <f t="shared" si="162"/>
        <v>8</v>
      </c>
      <c r="S262" s="12">
        <f t="shared" si="163"/>
        <v>8</v>
      </c>
      <c r="T262" s="12">
        <f t="shared" si="164"/>
        <v>16</v>
      </c>
      <c r="U262" s="9" t="str">
        <f t="shared" si="168"/>
        <v>water</v>
      </c>
      <c r="V262" s="9" t="s">
        <v>8</v>
      </c>
      <c r="W262" s="8" t="s">
        <v>7</v>
      </c>
      <c r="X262" s="9" t="s">
        <v>14</v>
      </c>
      <c r="Y262" s="9"/>
      <c r="Z262" s="12" t="str">
        <f t="shared" si="159"/>
        <v/>
      </c>
      <c r="AA262" s="8" t="str">
        <f t="shared" si="167"/>
        <v>Seaking</v>
      </c>
      <c r="AC262" s="8" t="s">
        <v>500</v>
      </c>
      <c r="AD262" s="8" t="str">
        <f>VLOOKUP(AC262,moves!A:B,2,FALSE)</f>
        <v>bug</v>
      </c>
      <c r="AE262" s="8">
        <f>VLOOKUP(AC262,moves!A:D,4,FALSE)</f>
        <v>5</v>
      </c>
      <c r="AF262" s="8" t="str">
        <f>VLOOKUP(AC262,moves!A:E,5,FALSE)</f>
        <v>Critical hits deal +1 damage but status symbols deal -1 damage.</v>
      </c>
      <c r="AG262" s="11">
        <v>0</v>
      </c>
      <c r="AH262" s="11">
        <v>0</v>
      </c>
      <c r="AI262" s="8" t="str" cm="1">
        <f t="array" ref="AI262">_xlfn.IFS(AG262=1, "starter", AH262=1, "legendary",T262&lt; 13, "weak",T262&lt; 17, "moderate", TRUE, "strong")</f>
        <v>moderate</v>
      </c>
      <c r="AK262" s="8">
        <v>2</v>
      </c>
      <c r="AL262" s="8">
        <v>0</v>
      </c>
      <c r="AM262" s="8">
        <v>0</v>
      </c>
    </row>
    <row r="263" spans="1:39" s="8" customFormat="1" x14ac:dyDescent="0.25">
      <c r="A263" s="9">
        <v>550</v>
      </c>
      <c r="B263" s="8" t="s">
        <v>664</v>
      </c>
      <c r="C263" s="8" t="s">
        <v>6</v>
      </c>
      <c r="E263" s="8">
        <v>70</v>
      </c>
      <c r="F263" s="8">
        <v>92</v>
      </c>
      <c r="G263" s="8">
        <v>65</v>
      </c>
      <c r="H263" s="8">
        <v>80</v>
      </c>
      <c r="I263" s="8">
        <v>55</v>
      </c>
      <c r="J263" s="8">
        <v>98</v>
      </c>
      <c r="K263" s="8" t="s">
        <v>663</v>
      </c>
      <c r="L263" s="10" t="s">
        <v>303</v>
      </c>
      <c r="M263" s="10" t="s">
        <v>300</v>
      </c>
      <c r="N263" s="9">
        <f t="shared" si="160"/>
        <v>9.32</v>
      </c>
      <c r="O263" s="9">
        <f t="shared" si="161"/>
        <v>6.4</v>
      </c>
      <c r="P263" s="9">
        <v>0</v>
      </c>
      <c r="Q263" s="9">
        <v>0</v>
      </c>
      <c r="R263" s="12">
        <f t="shared" si="162"/>
        <v>9</v>
      </c>
      <c r="S263" s="12">
        <f t="shared" si="163"/>
        <v>6</v>
      </c>
      <c r="T263" s="12">
        <f t="shared" si="164"/>
        <v>15</v>
      </c>
      <c r="U263" s="9" t="str">
        <f t="shared" si="168"/>
        <v>water</v>
      </c>
      <c r="V263" s="9" t="s">
        <v>9</v>
      </c>
      <c r="W263" s="8" t="s">
        <v>22</v>
      </c>
      <c r="X263" s="9" t="s">
        <v>33</v>
      </c>
      <c r="Y263" s="9"/>
      <c r="Z263" s="12" t="str">
        <f t="shared" si="159"/>
        <v/>
      </c>
      <c r="AA263" s="8" t="str">
        <f t="shared" si="167"/>
        <v>Basculin</v>
      </c>
      <c r="AC263" s="8" t="s">
        <v>655</v>
      </c>
      <c r="AD263" s="8" t="str">
        <f>VLOOKUP(AC263,moves!A:B,2,FALSE)</f>
        <v>water</v>
      </c>
      <c r="AE263" s="8">
        <f>VLOOKUP(AC263,moves!A:D,4,FALSE)</f>
        <v>3</v>
      </c>
      <c r="AF263" s="8" t="str">
        <f>VLOOKUP(AC263,moves!A:E,5,FALSE)</f>
        <v>The user may switch out.</v>
      </c>
      <c r="AG263" s="11">
        <v>0</v>
      </c>
      <c r="AH263" s="11">
        <v>0</v>
      </c>
      <c r="AI263" s="8" t="str" cm="1">
        <f t="array" ref="AI263">_xlfn.IFS(AG263=1, "starter", AH263=1, "legendary",T263&lt; 13, "weak",T263&lt; 17, "moderate", TRUE, "strong")</f>
        <v>moderate</v>
      </c>
      <c r="AK263" s="8">
        <v>1</v>
      </c>
      <c r="AL263" s="8">
        <v>0</v>
      </c>
      <c r="AM263" s="8">
        <v>0</v>
      </c>
    </row>
    <row r="264" spans="1:39" s="8" customFormat="1" x14ac:dyDescent="0.25">
      <c r="A264" s="9">
        <v>123</v>
      </c>
      <c r="B264" s="8" t="s">
        <v>666</v>
      </c>
      <c r="C264" s="8" t="s">
        <v>7</v>
      </c>
      <c r="D264" s="8" t="s">
        <v>5</v>
      </c>
      <c r="E264" s="8">
        <v>70</v>
      </c>
      <c r="F264" s="8">
        <v>110</v>
      </c>
      <c r="G264" s="8">
        <v>80</v>
      </c>
      <c r="H264" s="8">
        <v>55</v>
      </c>
      <c r="I264" s="8">
        <v>80</v>
      </c>
      <c r="J264" s="8">
        <v>105</v>
      </c>
      <c r="K264" s="8" t="s">
        <v>667</v>
      </c>
      <c r="L264" s="10" t="s">
        <v>298</v>
      </c>
      <c r="M264" s="10" t="s">
        <v>302</v>
      </c>
      <c r="N264" s="9">
        <f t="shared" si="160"/>
        <v>10.25</v>
      </c>
      <c r="O264" s="9">
        <f t="shared" si="161"/>
        <v>7.6</v>
      </c>
      <c r="P264" s="9">
        <v>0</v>
      </c>
      <c r="Q264" s="9">
        <v>0</v>
      </c>
      <c r="R264" s="12">
        <f t="shared" si="162"/>
        <v>10</v>
      </c>
      <c r="S264" s="12">
        <f t="shared" si="163"/>
        <v>8</v>
      </c>
      <c r="T264" s="12">
        <f t="shared" si="164"/>
        <v>18</v>
      </c>
      <c r="U264" s="9" t="str">
        <f t="shared" si="168"/>
        <v>bug</v>
      </c>
      <c r="V264" s="9" t="str">
        <f>IF(D264 = 0, "", D264)</f>
        <v>flying</v>
      </c>
      <c r="W264" s="8" t="s">
        <v>39</v>
      </c>
      <c r="X264" s="9" t="s">
        <v>8</v>
      </c>
      <c r="Y264" s="9" t="s">
        <v>668</v>
      </c>
      <c r="Z264" s="12">
        <f t="shared" si="159"/>
        <v>3</v>
      </c>
      <c r="AA264" s="8" t="str">
        <f t="shared" si="167"/>
        <v>Scyther</v>
      </c>
      <c r="AC264" s="8" t="s">
        <v>670</v>
      </c>
      <c r="AD264" s="8" t="str">
        <f>VLOOKUP(AC264,moves!A:B,2,FALSE)</f>
        <v>bug</v>
      </c>
      <c r="AE264" s="8">
        <f>VLOOKUP(AC264,moves!A:D,4,FALSE)</f>
        <v>4</v>
      </c>
      <c r="AF264" s="8" t="str">
        <f>VLOOKUP(AC264,moves!A:E,5,FALSE)</f>
        <v>Critical hits deal +1 damage.</v>
      </c>
      <c r="AG264" s="11">
        <v>0</v>
      </c>
      <c r="AH264" s="11">
        <v>0</v>
      </c>
      <c r="AI264" s="8" t="str" cm="1">
        <f t="array" ref="AI264">_xlfn.IFS(AG264=1, "starter", AH264=1, "legendary",T264&lt; 13, "weak",T264&lt; 17, "moderate", TRUE, "strong")</f>
        <v>strong</v>
      </c>
      <c r="AK264" s="8">
        <v>1</v>
      </c>
      <c r="AL264" s="8">
        <v>0</v>
      </c>
      <c r="AM264" s="8">
        <v>0</v>
      </c>
    </row>
    <row r="265" spans="1:39" s="8" customFormat="1" x14ac:dyDescent="0.25">
      <c r="A265" s="9">
        <v>212</v>
      </c>
      <c r="B265" s="8" t="s">
        <v>668</v>
      </c>
      <c r="C265" s="8" t="s">
        <v>7</v>
      </c>
      <c r="D265" s="8" t="s">
        <v>39</v>
      </c>
      <c r="E265" s="8">
        <v>70</v>
      </c>
      <c r="F265" s="8">
        <v>130</v>
      </c>
      <c r="G265" s="8">
        <v>100</v>
      </c>
      <c r="H265" s="8">
        <v>55</v>
      </c>
      <c r="I265" s="8">
        <v>80</v>
      </c>
      <c r="J265" s="8">
        <v>65</v>
      </c>
      <c r="K265" s="8" t="s">
        <v>669</v>
      </c>
      <c r="L265" s="10" t="s">
        <v>298</v>
      </c>
      <c r="M265" s="10" t="s">
        <v>302</v>
      </c>
      <c r="N265" s="9">
        <f t="shared" si="160"/>
        <v>9.65</v>
      </c>
      <c r="O265" s="9">
        <f t="shared" si="161"/>
        <v>8.1999999999999993</v>
      </c>
      <c r="P265" s="9">
        <v>-1</v>
      </c>
      <c r="Q265" s="9">
        <v>2</v>
      </c>
      <c r="R265" s="12">
        <f t="shared" si="162"/>
        <v>9</v>
      </c>
      <c r="S265" s="12">
        <f t="shared" si="163"/>
        <v>10</v>
      </c>
      <c r="T265" s="12">
        <f t="shared" si="164"/>
        <v>19</v>
      </c>
      <c r="U265" s="9" t="str">
        <f t="shared" si="168"/>
        <v>bug</v>
      </c>
      <c r="V265" s="9" t="str">
        <f>IF(D265 = 0, "", D265)</f>
        <v>steel</v>
      </c>
      <c r="W265" s="8" t="s">
        <v>5</v>
      </c>
      <c r="X265" s="9" t="s">
        <v>8</v>
      </c>
      <c r="Y265" s="9"/>
      <c r="Z265" s="12" t="str">
        <f t="shared" si="159"/>
        <v/>
      </c>
      <c r="AA265" s="8" t="str">
        <f t="shared" si="167"/>
        <v>Scizor</v>
      </c>
      <c r="AC265" s="8" t="s">
        <v>671</v>
      </c>
      <c r="AD265" s="8" t="str">
        <f>VLOOKUP(AC265,moves!A:B,2,FALSE)</f>
        <v>steel</v>
      </c>
      <c r="AE265" s="8">
        <f>VLOOKUP(AC265,moves!A:D,4,FALSE)</f>
        <v>2</v>
      </c>
      <c r="AF265" s="8" t="str">
        <f>VLOOKUP(AC265,moves!A:E,5,FALSE)</f>
        <v>Effect may be used once until the user switches out: Use another move this turn.</v>
      </c>
      <c r="AG265" s="11">
        <v>0</v>
      </c>
      <c r="AH265" s="11">
        <v>0</v>
      </c>
      <c r="AI265" s="8" t="str" cm="1">
        <f t="array" ref="AI265">_xlfn.IFS(AG265=1, "starter", AH265=1, "legendary",T265&lt; 13, "weak",T265&lt; 17, "moderate", TRUE, "strong")</f>
        <v>strong</v>
      </c>
      <c r="AK265" s="8">
        <v>2</v>
      </c>
      <c r="AL265" s="8">
        <v>0</v>
      </c>
      <c r="AM265" s="8">
        <v>0</v>
      </c>
    </row>
    <row r="266" spans="1:39" s="8" customFormat="1" x14ac:dyDescent="0.25">
      <c r="A266" s="9">
        <v>100</v>
      </c>
      <c r="B266" s="8" t="s">
        <v>675</v>
      </c>
      <c r="C266" s="8" t="s">
        <v>11</v>
      </c>
      <c r="E266" s="8">
        <v>40</v>
      </c>
      <c r="F266" s="8">
        <v>30</v>
      </c>
      <c r="G266" s="8">
        <v>50</v>
      </c>
      <c r="H266" s="8">
        <v>55</v>
      </c>
      <c r="I266" s="8">
        <v>55</v>
      </c>
      <c r="J266" s="8">
        <v>100</v>
      </c>
      <c r="K266" s="8" t="s">
        <v>677</v>
      </c>
      <c r="L266" s="10" t="s">
        <v>301</v>
      </c>
      <c r="M266" s="10" t="s">
        <v>300</v>
      </c>
      <c r="N266" s="9">
        <f t="shared" si="160"/>
        <v>7.05</v>
      </c>
      <c r="O266" s="9">
        <f t="shared" si="161"/>
        <v>4.75</v>
      </c>
      <c r="P266" s="9">
        <v>0</v>
      </c>
      <c r="Q266" s="9">
        <v>0</v>
      </c>
      <c r="R266" s="12">
        <f t="shared" si="162"/>
        <v>7</v>
      </c>
      <c r="S266" s="12">
        <f t="shared" si="163"/>
        <v>5</v>
      </c>
      <c r="T266" s="12">
        <f t="shared" si="164"/>
        <v>12</v>
      </c>
      <c r="U266" s="9" t="str">
        <f t="shared" si="168"/>
        <v>electric</v>
      </c>
      <c r="V266" s="9" t="s">
        <v>8</v>
      </c>
      <c r="W266" s="8" t="s">
        <v>33</v>
      </c>
      <c r="X266" s="9" t="s">
        <v>39</v>
      </c>
      <c r="Y266" s="9" t="s">
        <v>676</v>
      </c>
      <c r="Z266" s="12">
        <f t="shared" si="159"/>
        <v>8</v>
      </c>
      <c r="AA266" s="8" t="str">
        <f t="shared" si="167"/>
        <v>Voltorb</v>
      </c>
      <c r="AC266" s="8" t="s">
        <v>678</v>
      </c>
      <c r="AD266" s="8" t="str">
        <f>VLOOKUP(AC266,moves!A:B,2,FALSE)</f>
        <v>electric</v>
      </c>
      <c r="AE266" s="8" t="str">
        <f>VLOOKUP(AC266,moves!A:D,4,FALSE)</f>
        <v>?</v>
      </c>
      <c r="AF266" s="8" t="str">
        <f>VLOOKUP(AC266,moves!A:E,5,FALSE)</f>
        <v>Attack strength is equal to half the current initiative of the user, rounded down. Maximum 5 attack strength.</v>
      </c>
      <c r="AG266" s="11">
        <v>0</v>
      </c>
      <c r="AH266" s="11">
        <v>0</v>
      </c>
      <c r="AI266" s="8" t="str" cm="1">
        <f t="array" ref="AI266">_xlfn.IFS(AG266=1, "starter", AH266=1, "legendary",T266&lt; 13, "weak",T266&lt; 17, "moderate", TRUE, "strong")</f>
        <v>weak</v>
      </c>
      <c r="AK266" s="8">
        <v>1</v>
      </c>
      <c r="AL266" s="8">
        <v>0</v>
      </c>
      <c r="AM266" s="8">
        <v>0</v>
      </c>
    </row>
    <row r="267" spans="1:39" s="8" customFormat="1" x14ac:dyDescent="0.25">
      <c r="A267" s="9">
        <v>101</v>
      </c>
      <c r="B267" s="8" t="s">
        <v>676</v>
      </c>
      <c r="C267" s="8" t="s">
        <v>11</v>
      </c>
      <c r="E267" s="8">
        <v>60</v>
      </c>
      <c r="F267" s="8">
        <v>50</v>
      </c>
      <c r="G267" s="8">
        <v>70</v>
      </c>
      <c r="H267" s="8">
        <v>80</v>
      </c>
      <c r="I267" s="8">
        <v>80</v>
      </c>
      <c r="J267" s="8">
        <v>150</v>
      </c>
      <c r="K267" s="8" t="s">
        <v>677</v>
      </c>
      <c r="L267" s="10" t="s">
        <v>301</v>
      </c>
      <c r="M267" s="10" t="s">
        <v>300</v>
      </c>
      <c r="N267" s="9">
        <f t="shared" si="160"/>
        <v>10.5</v>
      </c>
      <c r="O267" s="9">
        <f t="shared" si="161"/>
        <v>6.9</v>
      </c>
      <c r="P267" s="9">
        <v>0</v>
      </c>
      <c r="Q267" s="9">
        <v>0</v>
      </c>
      <c r="R267" s="12">
        <f t="shared" si="162"/>
        <v>11</v>
      </c>
      <c r="S267" s="12">
        <f t="shared" si="163"/>
        <v>7</v>
      </c>
      <c r="T267" s="12">
        <f t="shared" si="164"/>
        <v>18</v>
      </c>
      <c r="U267" s="9" t="str">
        <f t="shared" si="168"/>
        <v>electric</v>
      </c>
      <c r="V267" s="9" t="s">
        <v>8</v>
      </c>
      <c r="W267" s="8" t="s">
        <v>33</v>
      </c>
      <c r="X267" s="9" t="s">
        <v>39</v>
      </c>
      <c r="Y267" s="9"/>
      <c r="Z267" s="12" t="str">
        <f t="shared" si="159"/>
        <v/>
      </c>
      <c r="AA267" s="8" t="str">
        <f t="shared" si="167"/>
        <v>Electrode</v>
      </c>
      <c r="AC267" s="8" t="s">
        <v>520</v>
      </c>
      <c r="AD267" s="8" t="str">
        <f>VLOOKUP(AC267,moves!A:B,2,FALSE)</f>
        <v>normal</v>
      </c>
      <c r="AE267" s="8">
        <f>VLOOKUP(AC267,moves!A:D,4,FALSE)</f>
        <v>6</v>
      </c>
      <c r="AF267" s="8" t="str">
        <f>VLOOKUP(AC267,moves!A:E,5,FALSE)</f>
        <v>Critical hits deal +2 damage but for each critical hit rolled: The user takes 3 damage.</v>
      </c>
      <c r="AG267" s="11">
        <v>0</v>
      </c>
      <c r="AH267" s="11">
        <v>0</v>
      </c>
      <c r="AI267" s="8" t="str" cm="1">
        <f t="array" ref="AI267">_xlfn.IFS(AG267=1, "starter", AH267=1, "legendary",T267&lt; 13, "weak",T267&lt; 17, "moderate", TRUE, "strong")</f>
        <v>strong</v>
      </c>
      <c r="AK267" s="8">
        <v>2</v>
      </c>
      <c r="AL267" s="8">
        <v>0</v>
      </c>
      <c r="AM267" s="8">
        <v>0</v>
      </c>
    </row>
    <row r="268" spans="1:39" s="8" customFormat="1" x14ac:dyDescent="0.25">
      <c r="A268" s="9">
        <v>570</v>
      </c>
      <c r="B268" s="8" t="s">
        <v>681</v>
      </c>
      <c r="C268" s="8" t="s">
        <v>9</v>
      </c>
      <c r="E268" s="8">
        <v>40</v>
      </c>
      <c r="F268" s="8">
        <v>65</v>
      </c>
      <c r="G268" s="8">
        <v>40</v>
      </c>
      <c r="H268" s="8">
        <v>80</v>
      </c>
      <c r="I268" s="8">
        <v>40</v>
      </c>
      <c r="J268" s="8">
        <v>65</v>
      </c>
      <c r="K268" s="8" t="s">
        <v>683</v>
      </c>
      <c r="L268" s="10" t="s">
        <v>304</v>
      </c>
      <c r="M268" s="10" t="s">
        <v>299</v>
      </c>
      <c r="N268" s="9">
        <f t="shared" si="160"/>
        <v>7.25</v>
      </c>
      <c r="O268" s="9">
        <f t="shared" si="161"/>
        <v>4</v>
      </c>
      <c r="P268" s="9">
        <v>0</v>
      </c>
      <c r="Q268" s="9">
        <v>0</v>
      </c>
      <c r="R268" s="12">
        <f t="shared" si="162"/>
        <v>7</v>
      </c>
      <c r="S268" s="12">
        <f t="shared" si="163"/>
        <v>4</v>
      </c>
      <c r="T268" s="12">
        <f t="shared" si="164"/>
        <v>11</v>
      </c>
      <c r="U268" s="9" t="str">
        <f t="shared" si="168"/>
        <v>dark</v>
      </c>
      <c r="V268" s="9" t="s">
        <v>8</v>
      </c>
      <c r="W268" s="8" t="s">
        <v>42</v>
      </c>
      <c r="X268" s="9" t="s">
        <v>22</v>
      </c>
      <c r="Y268" s="9" t="s">
        <v>682</v>
      </c>
      <c r="Z268" s="12">
        <f t="shared" si="159"/>
        <v>7</v>
      </c>
      <c r="AA268" s="8" t="str">
        <f t="shared" si="167"/>
        <v>Zorua</v>
      </c>
      <c r="AC268" s="8" t="s">
        <v>887</v>
      </c>
      <c r="AD268" s="8" t="str">
        <f>VLOOKUP(AC268,moves!A:B,2,FALSE)</f>
        <v>dark</v>
      </c>
      <c r="AE268" s="8" t="str">
        <f>VLOOKUP(AC268,moves!A:D,4,FALSE)</f>
        <v>?</v>
      </c>
      <c r="AF268" s="8" t="str">
        <f>VLOOKUP(AC268,moves!A:E,5,FALSE)</f>
        <v>Copy the attack strength of a move the target knows. Minimum 1 attack strength.</v>
      </c>
      <c r="AG268" s="11">
        <v>0</v>
      </c>
      <c r="AH268" s="11">
        <v>0</v>
      </c>
      <c r="AI268" s="8" t="str" cm="1">
        <f t="array" ref="AI268">_xlfn.IFS(AG268=1, "starter", AH268=1, "legendary",T268&lt; 13, "weak",T268&lt; 17, "moderate", TRUE, "strong")</f>
        <v>weak</v>
      </c>
      <c r="AK268" s="8">
        <v>1</v>
      </c>
      <c r="AL268" s="8">
        <v>0</v>
      </c>
      <c r="AM268" s="8">
        <v>0</v>
      </c>
    </row>
    <row r="269" spans="1:39" s="8" customFormat="1" x14ac:dyDescent="0.25">
      <c r="A269" s="9">
        <v>571</v>
      </c>
      <c r="B269" s="8" t="s">
        <v>682</v>
      </c>
      <c r="C269" s="8" t="s">
        <v>9</v>
      </c>
      <c r="E269" s="8">
        <v>60</v>
      </c>
      <c r="F269" s="8">
        <v>105</v>
      </c>
      <c r="G269" s="8">
        <v>60</v>
      </c>
      <c r="H269" s="8">
        <v>120</v>
      </c>
      <c r="I269" s="8">
        <v>60</v>
      </c>
      <c r="J269" s="8">
        <v>105</v>
      </c>
      <c r="K269" s="8" t="s">
        <v>684</v>
      </c>
      <c r="L269" s="10" t="s">
        <v>304</v>
      </c>
      <c r="M269" s="10" t="s">
        <v>299</v>
      </c>
      <c r="N269" s="9">
        <f t="shared" si="160"/>
        <v>11.25</v>
      </c>
      <c r="O269" s="9">
        <f t="shared" si="161"/>
        <v>6</v>
      </c>
      <c r="P269" s="9">
        <v>0</v>
      </c>
      <c r="Q269" s="9">
        <v>0</v>
      </c>
      <c r="R269" s="12">
        <f t="shared" si="162"/>
        <v>11</v>
      </c>
      <c r="S269" s="12">
        <f t="shared" si="163"/>
        <v>6</v>
      </c>
      <c r="T269" s="12">
        <f t="shared" si="164"/>
        <v>17</v>
      </c>
      <c r="U269" s="9" t="str">
        <f t="shared" si="168"/>
        <v>dark</v>
      </c>
      <c r="V269" s="9" t="s">
        <v>8</v>
      </c>
      <c r="W269" s="8" t="s">
        <v>42</v>
      </c>
      <c r="X269" s="9" t="s">
        <v>22</v>
      </c>
      <c r="Y269" s="9"/>
      <c r="Z269" s="12" t="str">
        <f t="shared" si="159"/>
        <v/>
      </c>
      <c r="AA269" s="8" t="str">
        <f t="shared" si="167"/>
        <v>Zoroark</v>
      </c>
      <c r="AC269" s="8" t="s">
        <v>685</v>
      </c>
      <c r="AD269" s="8" t="str">
        <f>VLOOKUP(AC269,moves!A:B,2,FALSE)</f>
        <v>dark</v>
      </c>
      <c r="AE269" s="8">
        <f>VLOOKUP(AC269,moves!A:D,4,FALSE)</f>
        <v>4</v>
      </c>
      <c r="AF269" s="8" t="str">
        <f>VLOOKUP(AC269,moves!A:E,5,FALSE)</f>
        <v>When the target next attacks, status symbols deal -1 damage.</v>
      </c>
      <c r="AG269" s="11">
        <v>0</v>
      </c>
      <c r="AH269" s="11">
        <v>0</v>
      </c>
      <c r="AI269" s="8" t="str" cm="1">
        <f t="array" ref="AI269">_xlfn.IFS(AG269=1, "starter", AH269=1, "legendary",T269&lt; 13, "weak",T269&lt; 17, "moderate", TRUE, "strong")</f>
        <v>strong</v>
      </c>
      <c r="AK269" s="8">
        <v>2</v>
      </c>
      <c r="AL269" s="8">
        <v>0</v>
      </c>
      <c r="AM269" s="8">
        <v>0</v>
      </c>
    </row>
    <row r="270" spans="1:39" s="8" customFormat="1" x14ac:dyDescent="0.25">
      <c r="A270" s="9">
        <v>627</v>
      </c>
      <c r="B270" s="8" t="s">
        <v>691</v>
      </c>
      <c r="C270" s="8" t="s">
        <v>8</v>
      </c>
      <c r="D270" s="8" t="s">
        <v>5</v>
      </c>
      <c r="E270" s="8">
        <v>70</v>
      </c>
      <c r="F270" s="8">
        <v>83</v>
      </c>
      <c r="G270" s="8">
        <v>50</v>
      </c>
      <c r="H270" s="8">
        <v>37</v>
      </c>
      <c r="I270" s="8">
        <v>50</v>
      </c>
      <c r="J270" s="8">
        <v>60</v>
      </c>
      <c r="K270" s="8" t="s">
        <v>693</v>
      </c>
      <c r="L270" s="10" t="s">
        <v>304</v>
      </c>
      <c r="M270" s="10" t="s">
        <v>300</v>
      </c>
      <c r="N270" s="9">
        <f t="shared" si="160"/>
        <v>6.92</v>
      </c>
      <c r="O270" s="9">
        <f t="shared" si="161"/>
        <v>5.8</v>
      </c>
      <c r="P270" s="9">
        <v>0</v>
      </c>
      <c r="Q270" s="9">
        <v>0</v>
      </c>
      <c r="R270" s="12">
        <f t="shared" si="162"/>
        <v>7</v>
      </c>
      <c r="S270" s="12">
        <f t="shared" si="163"/>
        <v>6</v>
      </c>
      <c r="T270" s="12">
        <f t="shared" si="164"/>
        <v>13</v>
      </c>
      <c r="U270" s="9" t="str">
        <f t="shared" si="168"/>
        <v>normal</v>
      </c>
      <c r="V270" s="9" t="str">
        <f>IF(D270 = 0, "", D270)</f>
        <v>flying</v>
      </c>
      <c r="W270" s="9" t="s">
        <v>22</v>
      </c>
      <c r="X270" s="9" t="s">
        <v>26</v>
      </c>
      <c r="Y270" s="9" t="s">
        <v>692</v>
      </c>
      <c r="Z270" s="12">
        <f t="shared" si="159"/>
        <v>9</v>
      </c>
      <c r="AA270" s="8" t="str">
        <f t="shared" si="167"/>
        <v>Rufflet</v>
      </c>
      <c r="AC270" s="8" t="s">
        <v>497</v>
      </c>
      <c r="AD270" s="8" t="str">
        <f>VLOOKUP(AC270,moves!A:B,2,FALSE)</f>
        <v>flying</v>
      </c>
      <c r="AE270" s="8">
        <f>VLOOKUP(AC270,moves!A:D,4,FALSE)</f>
        <v>3</v>
      </c>
      <c r="AF270" s="8" t="str">
        <f>VLOOKUP(AC270,moves!A:E,5,FALSE)</f>
        <v>When the target next attacks, remove a regular hit from the roll.</v>
      </c>
      <c r="AG270" s="11">
        <v>0</v>
      </c>
      <c r="AH270" s="11">
        <v>0</v>
      </c>
      <c r="AI270" s="8" t="str" cm="1">
        <f t="array" ref="AI270">_xlfn.IFS(AG270=1, "starter", AH270=1, "legendary",T270&lt; 13, "weak",T270&lt; 17, "moderate", TRUE, "strong")</f>
        <v>moderate</v>
      </c>
      <c r="AK270" s="8">
        <v>1</v>
      </c>
      <c r="AL270" s="8">
        <v>0</v>
      </c>
      <c r="AM270" s="8">
        <v>0</v>
      </c>
    </row>
    <row r="271" spans="1:39" s="8" customFormat="1" x14ac:dyDescent="0.25">
      <c r="A271" s="9">
        <v>628</v>
      </c>
      <c r="B271" s="8" t="s">
        <v>692</v>
      </c>
      <c r="C271" s="8" t="s">
        <v>8</v>
      </c>
      <c r="D271" s="8" t="s">
        <v>5</v>
      </c>
      <c r="E271" s="8">
        <v>100</v>
      </c>
      <c r="F271" s="8">
        <v>123</v>
      </c>
      <c r="G271" s="8">
        <v>75</v>
      </c>
      <c r="H271" s="8">
        <v>57</v>
      </c>
      <c r="I271" s="8">
        <v>75</v>
      </c>
      <c r="J271" s="8">
        <v>80</v>
      </c>
      <c r="K271" s="8" t="s">
        <v>694</v>
      </c>
      <c r="L271" s="10" t="s">
        <v>304</v>
      </c>
      <c r="M271" s="10" t="s">
        <v>300</v>
      </c>
      <c r="N271" s="9">
        <f t="shared" si="160"/>
        <v>9.92</v>
      </c>
      <c r="O271" s="9">
        <f t="shared" si="161"/>
        <v>8.5</v>
      </c>
      <c r="P271" s="9">
        <v>0</v>
      </c>
      <c r="Q271" s="9">
        <v>0</v>
      </c>
      <c r="R271" s="12">
        <f t="shared" si="162"/>
        <v>10</v>
      </c>
      <c r="S271" s="12">
        <f t="shared" si="163"/>
        <v>9</v>
      </c>
      <c r="T271" s="12">
        <f t="shared" si="164"/>
        <v>19</v>
      </c>
      <c r="U271" s="9" t="str">
        <f t="shared" si="168"/>
        <v>normal</v>
      </c>
      <c r="V271" s="9" t="str">
        <f>IF(D271 = 0, "", D271)</f>
        <v>flying</v>
      </c>
      <c r="W271" s="9" t="s">
        <v>22</v>
      </c>
      <c r="X271" s="9" t="s">
        <v>26</v>
      </c>
      <c r="Y271" s="9"/>
      <c r="Z271" s="12" t="str">
        <f t="shared" si="159"/>
        <v/>
      </c>
      <c r="AA271" s="8" t="str">
        <f t="shared" si="167"/>
        <v>Braviary</v>
      </c>
      <c r="AC271" s="8" t="s">
        <v>695</v>
      </c>
      <c r="AD271" s="8" t="str">
        <f>VLOOKUP(AC271,moves!A:B,2,FALSE)</f>
        <v>flying</v>
      </c>
      <c r="AE271" s="8">
        <f>VLOOKUP(AC271,moves!A:D,4,FALSE)</f>
        <v>5</v>
      </c>
      <c r="AF271" s="8" t="str">
        <f>VLOOKUP(AC271,moves!A:E,5,FALSE)</f>
        <v>Critical hits deal +2 damage but for each critical hit rolled: The user takes 2 damage.</v>
      </c>
      <c r="AG271" s="11">
        <v>0</v>
      </c>
      <c r="AH271" s="11">
        <v>0</v>
      </c>
      <c r="AI271" s="8" t="str" cm="1">
        <f t="array" ref="AI271">_xlfn.IFS(AG271=1, "starter", AH271=1, "legendary",T271&lt; 13, "weak",T271&lt; 17, "moderate", TRUE, "strong")</f>
        <v>strong</v>
      </c>
      <c r="AK271" s="8">
        <v>2</v>
      </c>
      <c r="AL271" s="8">
        <v>0</v>
      </c>
      <c r="AM271" s="8">
        <v>0</v>
      </c>
    </row>
    <row r="272" spans="1:39" s="8" customFormat="1" x14ac:dyDescent="0.25">
      <c r="A272" s="9">
        <v>778</v>
      </c>
      <c r="B272" s="8" t="s">
        <v>696</v>
      </c>
      <c r="C272" s="8" t="s">
        <v>42</v>
      </c>
      <c r="D272" s="8" t="s">
        <v>16</v>
      </c>
      <c r="E272" s="8">
        <v>55</v>
      </c>
      <c r="F272" s="8">
        <v>90</v>
      </c>
      <c r="G272" s="8">
        <v>80</v>
      </c>
      <c r="H272" s="8">
        <v>50</v>
      </c>
      <c r="I272" s="8">
        <v>105</v>
      </c>
      <c r="J272" s="8">
        <v>96</v>
      </c>
      <c r="K272" s="8" t="s">
        <v>697</v>
      </c>
      <c r="L272" s="10" t="s">
        <v>301</v>
      </c>
      <c r="M272" s="10" t="s">
        <v>299</v>
      </c>
      <c r="N272" s="9">
        <f t="shared" si="160"/>
        <v>8.84</v>
      </c>
      <c r="O272" s="9">
        <f t="shared" si="161"/>
        <v>7.75</v>
      </c>
      <c r="P272" s="9">
        <v>0</v>
      </c>
      <c r="Q272" s="9">
        <v>0</v>
      </c>
      <c r="R272" s="12">
        <f t="shared" si="162"/>
        <v>9</v>
      </c>
      <c r="S272" s="12">
        <f t="shared" si="163"/>
        <v>8</v>
      </c>
      <c r="T272" s="12">
        <f t="shared" si="164"/>
        <v>17</v>
      </c>
      <c r="U272" s="9" t="str">
        <f t="shared" si="168"/>
        <v>ghost</v>
      </c>
      <c r="V272" s="9" t="str">
        <f>IF(D272 = 0, "", D272)</f>
        <v>fairy</v>
      </c>
      <c r="W272" s="9" t="s">
        <v>2</v>
      </c>
      <c r="X272" s="9" t="s">
        <v>8</v>
      </c>
      <c r="Y272" s="9"/>
      <c r="Z272" s="12" t="str">
        <f t="shared" si="159"/>
        <v/>
      </c>
      <c r="AA272" s="8" t="str">
        <f t="shared" si="167"/>
        <v>Mimikyu</v>
      </c>
      <c r="AC272" s="8" t="s">
        <v>698</v>
      </c>
      <c r="AD272" s="8" t="str">
        <f>VLOOKUP(AC272,moves!A:B,2,FALSE)</f>
        <v>ghost</v>
      </c>
      <c r="AE272" s="8">
        <f>VLOOKUP(AC272,moves!A:D,4,FALSE)</f>
        <v>3</v>
      </c>
      <c r="AF272" s="8" t="str">
        <f>VLOOKUP(AC272,moves!A:E,5,FALSE)</f>
        <v>When the user is next attacked, remove 2 regular hits from the roll.</v>
      </c>
      <c r="AG272" s="11">
        <v>0</v>
      </c>
      <c r="AH272" s="11">
        <v>0</v>
      </c>
      <c r="AI272" s="8" t="str" cm="1">
        <f t="array" ref="AI272">_xlfn.IFS(AG272=1, "starter", AH272=1, "legendary",T272&lt; 13, "weak",T272&lt; 17, "moderate", TRUE, "strong")</f>
        <v>strong</v>
      </c>
      <c r="AK272" s="8">
        <v>1</v>
      </c>
      <c r="AL272" s="8">
        <v>0</v>
      </c>
      <c r="AM272" s="8">
        <v>0</v>
      </c>
    </row>
    <row r="273" spans="1:39" s="8" customFormat="1" x14ac:dyDescent="0.25">
      <c r="A273" s="9">
        <v>615</v>
      </c>
      <c r="B273" s="8" t="s">
        <v>703</v>
      </c>
      <c r="C273" s="8" t="s">
        <v>14</v>
      </c>
      <c r="E273" s="8">
        <v>80</v>
      </c>
      <c r="F273" s="8">
        <v>50</v>
      </c>
      <c r="G273" s="8">
        <v>50</v>
      </c>
      <c r="H273" s="8">
        <v>95</v>
      </c>
      <c r="I273" s="8">
        <v>135</v>
      </c>
      <c r="J273" s="8">
        <v>105</v>
      </c>
      <c r="K273" s="8" t="s">
        <v>702</v>
      </c>
      <c r="L273" s="10" t="s">
        <v>301</v>
      </c>
      <c r="M273" s="10" t="s">
        <v>299</v>
      </c>
      <c r="N273" s="9">
        <f t="shared" si="160"/>
        <v>9.4499999999999993</v>
      </c>
      <c r="O273" s="9">
        <f t="shared" si="161"/>
        <v>8.75</v>
      </c>
      <c r="P273" s="9">
        <v>0</v>
      </c>
      <c r="Q273" s="9">
        <v>0</v>
      </c>
      <c r="R273" s="12">
        <f t="shared" si="162"/>
        <v>9</v>
      </c>
      <c r="S273" s="12">
        <f t="shared" si="163"/>
        <v>9</v>
      </c>
      <c r="T273" s="12">
        <f t="shared" si="164"/>
        <v>18</v>
      </c>
      <c r="U273" s="9" t="str">
        <f t="shared" si="168"/>
        <v>ice</v>
      </c>
      <c r="V273" s="9" t="s">
        <v>33</v>
      </c>
      <c r="W273" s="9" t="s">
        <v>9</v>
      </c>
      <c r="X273" s="9" t="s">
        <v>2</v>
      </c>
      <c r="Y273" s="9"/>
      <c r="Z273" s="12" t="str">
        <f t="shared" si="159"/>
        <v/>
      </c>
      <c r="AA273" s="8" t="str">
        <f t="shared" si="167"/>
        <v>Cryogonal</v>
      </c>
      <c r="AC273" s="8" t="s">
        <v>579</v>
      </c>
      <c r="AD273" s="8" t="str">
        <f>VLOOKUP(AC273,moves!A:B,2,FALSE)</f>
        <v>ice</v>
      </c>
      <c r="AE273" s="8">
        <f>VLOOKUP(AC273,moves!A:D,4,FALSE)</f>
        <v>5</v>
      </c>
      <c r="AF273" s="8" t="str">
        <f>VLOOKUP(AC273,moves!A:E,5,FALSE)</f>
        <v>Inflict the Frozen status on the target. Status symbols deal -2 damage.</v>
      </c>
      <c r="AG273" s="11">
        <v>0</v>
      </c>
      <c r="AH273" s="11">
        <v>0</v>
      </c>
      <c r="AI273" s="8" t="str" cm="1">
        <f t="array" ref="AI273">_xlfn.IFS(AG273=1, "starter", AH273=1, "legendary",T273&lt; 13, "weak",T273&lt; 17, "moderate", TRUE, "strong")</f>
        <v>strong</v>
      </c>
      <c r="AK273" s="8">
        <v>1</v>
      </c>
      <c r="AL273" s="8">
        <v>0</v>
      </c>
      <c r="AM273" s="8">
        <v>0</v>
      </c>
    </row>
    <row r="274" spans="1:39" s="8" customFormat="1" x14ac:dyDescent="0.25">
      <c r="A274" s="9">
        <v>712</v>
      </c>
      <c r="B274" s="8" t="s">
        <v>705</v>
      </c>
      <c r="C274" s="8" t="s">
        <v>14</v>
      </c>
      <c r="E274" s="8">
        <v>55</v>
      </c>
      <c r="F274" s="8">
        <v>69</v>
      </c>
      <c r="G274" s="8">
        <v>85</v>
      </c>
      <c r="H274" s="8">
        <v>32</v>
      </c>
      <c r="I274" s="8">
        <v>35</v>
      </c>
      <c r="J274" s="8">
        <v>28</v>
      </c>
      <c r="K274" s="8" t="s">
        <v>704</v>
      </c>
      <c r="L274" s="10" t="s">
        <v>303</v>
      </c>
      <c r="M274" s="10" t="s">
        <v>299</v>
      </c>
      <c r="N274" s="9">
        <f t="shared" si="160"/>
        <v>4.8900000000000006</v>
      </c>
      <c r="O274" s="9">
        <f t="shared" si="161"/>
        <v>5.8</v>
      </c>
      <c r="P274" s="9">
        <v>0</v>
      </c>
      <c r="Q274" s="9">
        <v>0</v>
      </c>
      <c r="R274" s="12">
        <f t="shared" si="162"/>
        <v>5</v>
      </c>
      <c r="S274" s="12">
        <f t="shared" si="163"/>
        <v>6</v>
      </c>
      <c r="T274" s="12">
        <f t="shared" si="164"/>
        <v>11</v>
      </c>
      <c r="U274" s="9" t="str">
        <f t="shared" si="168"/>
        <v>ice</v>
      </c>
      <c r="V274" s="9" t="s">
        <v>8</v>
      </c>
      <c r="W274" s="9" t="s">
        <v>33</v>
      </c>
      <c r="X274" s="9" t="s">
        <v>9</v>
      </c>
      <c r="Y274" s="8" t="s">
        <v>706</v>
      </c>
      <c r="Z274" s="12">
        <f t="shared" si="159"/>
        <v>8</v>
      </c>
      <c r="AA274" s="8" t="str">
        <f t="shared" si="167"/>
        <v>Bergmite</v>
      </c>
      <c r="AC274" s="8" t="s">
        <v>953</v>
      </c>
      <c r="AD274" s="8" t="str">
        <f>VLOOKUP(AC274,moves!A:B,2,FALSE)</f>
        <v>ice</v>
      </c>
      <c r="AE274" s="8">
        <f>VLOOKUP(AC274,moves!A:D,4,FALSE)</f>
        <v>1</v>
      </c>
      <c r="AF274" s="8" t="str">
        <f>VLOOKUP(AC274,moves!A:E,5,FALSE)</f>
        <v>Inflict the Frozen status on the target. When the user is next attacked, remove 2 regular hits from the roll.</v>
      </c>
      <c r="AG274" s="11">
        <v>0</v>
      </c>
      <c r="AH274" s="11">
        <v>0</v>
      </c>
      <c r="AI274" s="8" t="str" cm="1">
        <f t="array" ref="AI274">_xlfn.IFS(AG274=1, "starter", AH274=1, "legendary",T274&lt; 13, "weak",T274&lt; 17, "moderate", TRUE, "strong")</f>
        <v>weak</v>
      </c>
      <c r="AK274" s="8">
        <v>1</v>
      </c>
      <c r="AL274" s="8">
        <v>0</v>
      </c>
      <c r="AM274" s="8">
        <v>0</v>
      </c>
    </row>
    <row r="275" spans="1:39" s="8" customFormat="1" x14ac:dyDescent="0.25">
      <c r="A275" s="9">
        <v>713</v>
      </c>
      <c r="B275" s="8" t="s">
        <v>706</v>
      </c>
      <c r="C275" s="8" t="s">
        <v>14</v>
      </c>
      <c r="E275" s="8">
        <v>95</v>
      </c>
      <c r="F275" s="8">
        <v>117</v>
      </c>
      <c r="G275" s="8">
        <v>184</v>
      </c>
      <c r="H275" s="8">
        <v>44</v>
      </c>
      <c r="I275" s="8">
        <v>46</v>
      </c>
      <c r="J275" s="8">
        <v>28</v>
      </c>
      <c r="K275" s="8" t="s">
        <v>448</v>
      </c>
      <c r="L275" s="10" t="s">
        <v>303</v>
      </c>
      <c r="M275" s="10" t="s">
        <v>299</v>
      </c>
      <c r="N275" s="9">
        <f t="shared" si="160"/>
        <v>7.410000000000001</v>
      </c>
      <c r="O275" s="9">
        <f t="shared" si="161"/>
        <v>10.7</v>
      </c>
      <c r="P275" s="9">
        <v>0</v>
      </c>
      <c r="Q275" s="9">
        <v>0</v>
      </c>
      <c r="R275" s="12">
        <f t="shared" si="162"/>
        <v>7</v>
      </c>
      <c r="S275" s="12">
        <f t="shared" si="163"/>
        <v>11</v>
      </c>
      <c r="T275" s="12">
        <f t="shared" si="164"/>
        <v>18</v>
      </c>
      <c r="U275" s="9" t="str">
        <f t="shared" si="168"/>
        <v>ice</v>
      </c>
      <c r="V275" s="9" t="s">
        <v>8</v>
      </c>
      <c r="W275" s="9" t="s">
        <v>33</v>
      </c>
      <c r="X275" s="9" t="s">
        <v>9</v>
      </c>
      <c r="Y275" s="9"/>
      <c r="Z275" s="12" t="str">
        <f t="shared" si="159"/>
        <v/>
      </c>
      <c r="AA275" s="8" t="str">
        <f t="shared" si="167"/>
        <v>Avalugg</v>
      </c>
      <c r="AC275" s="8" t="s">
        <v>707</v>
      </c>
      <c r="AD275" s="8" t="str">
        <f>VLOOKUP(AC275,moves!A:B,2,FALSE)</f>
        <v>ice</v>
      </c>
      <c r="AE275" s="8" t="str">
        <f>VLOOKUP(AC275,moves!A:D,4,FALSE)</f>
        <v>?</v>
      </c>
      <c r="AF275" s="8" t="str">
        <f>VLOOKUP(AC275,moves!A:E,5,FALSE)</f>
        <v>Attack strength is equal to half the current initiative of the target, rounded down. Maximum 6 attack strength.</v>
      </c>
      <c r="AG275" s="11">
        <v>0</v>
      </c>
      <c r="AH275" s="11">
        <v>0</v>
      </c>
      <c r="AI275" s="8" t="str" cm="1">
        <f t="array" ref="AI275">_xlfn.IFS(AG275=1, "starter", AH275=1, "legendary",T275&lt; 13, "weak",T275&lt; 17, "moderate", TRUE, "strong")</f>
        <v>strong</v>
      </c>
      <c r="AK275" s="8">
        <v>2</v>
      </c>
      <c r="AL275" s="8">
        <v>0</v>
      </c>
      <c r="AM275" s="8">
        <v>0</v>
      </c>
    </row>
    <row r="276" spans="1:39" s="8" customFormat="1" x14ac:dyDescent="0.25">
      <c r="A276" s="9">
        <v>781</v>
      </c>
      <c r="B276" s="8" t="s">
        <v>711</v>
      </c>
      <c r="C276" s="8" t="s">
        <v>42</v>
      </c>
      <c r="D276" s="8" t="s">
        <v>2</v>
      </c>
      <c r="E276" s="8">
        <v>70</v>
      </c>
      <c r="F276" s="8">
        <v>131</v>
      </c>
      <c r="G276" s="8">
        <v>100</v>
      </c>
      <c r="H276" s="8">
        <v>86</v>
      </c>
      <c r="I276" s="8">
        <v>90</v>
      </c>
      <c r="J276" s="8">
        <v>40</v>
      </c>
      <c r="K276" s="8" t="s">
        <v>712</v>
      </c>
      <c r="L276" s="10" t="s">
        <v>303</v>
      </c>
      <c r="M276" s="10" t="s">
        <v>302</v>
      </c>
      <c r="N276" s="9">
        <f t="shared" si="160"/>
        <v>9.01</v>
      </c>
      <c r="O276" s="9">
        <f t="shared" si="161"/>
        <v>8.5</v>
      </c>
      <c r="P276" s="9">
        <v>0</v>
      </c>
      <c r="Q276" s="9">
        <v>0</v>
      </c>
      <c r="R276" s="12">
        <f t="shared" si="162"/>
        <v>9</v>
      </c>
      <c r="S276" s="12">
        <f t="shared" si="163"/>
        <v>9</v>
      </c>
      <c r="T276" s="12">
        <f t="shared" si="164"/>
        <v>18</v>
      </c>
      <c r="U276" s="9" t="str">
        <f t="shared" si="168"/>
        <v>ghost</v>
      </c>
      <c r="V276" s="9" t="str">
        <f>IF(D276 = 0, "", D276)</f>
        <v>grass</v>
      </c>
      <c r="W276" s="9" t="s">
        <v>39</v>
      </c>
      <c r="X276" s="9" t="s">
        <v>8</v>
      </c>
      <c r="Y276" s="9"/>
      <c r="Z276" s="12" t="str">
        <f t="shared" si="159"/>
        <v/>
      </c>
      <c r="AA276" s="8" t="str">
        <f t="shared" si="167"/>
        <v>Dhelmise</v>
      </c>
      <c r="AC276" s="8" t="s">
        <v>713</v>
      </c>
      <c r="AD276" s="8" t="str">
        <f>VLOOKUP(AC276,moves!A:B,2,FALSE)</f>
        <v>steel</v>
      </c>
      <c r="AE276" s="8">
        <f>VLOOKUP(AC276,moves!A:D,4,FALSE)</f>
        <v>4</v>
      </c>
      <c r="AF276" s="8" t="str">
        <f>VLOOKUP(AC276,moves!A:E,5,FALSE)</f>
        <v>Deals 4 extra damage to Water-type Pokémon. The target may no longer switch out or flee the battle.</v>
      </c>
      <c r="AG276" s="11">
        <v>0</v>
      </c>
      <c r="AH276" s="11">
        <v>0</v>
      </c>
      <c r="AI276" s="8" t="str" cm="1">
        <f t="array" ref="AI276">_xlfn.IFS(AG276=1, "starter", AH276=1, "legendary",T276&lt; 13, "weak",T276&lt; 17, "moderate", TRUE, "strong")</f>
        <v>strong</v>
      </c>
      <c r="AK276" s="8">
        <v>1</v>
      </c>
      <c r="AL276" s="8">
        <v>0</v>
      </c>
      <c r="AM276" s="8">
        <v>0</v>
      </c>
    </row>
    <row r="277" spans="1:39" s="8" customFormat="1" x14ac:dyDescent="0.25">
      <c r="A277" s="9">
        <v>776</v>
      </c>
      <c r="B277" s="8" t="s">
        <v>718</v>
      </c>
      <c r="C277" s="8" t="s">
        <v>4</v>
      </c>
      <c r="D277" s="8" t="s">
        <v>67</v>
      </c>
      <c r="E277" s="8">
        <v>60</v>
      </c>
      <c r="F277" s="8">
        <v>78</v>
      </c>
      <c r="G277" s="8">
        <v>135</v>
      </c>
      <c r="H277" s="8">
        <v>91</v>
      </c>
      <c r="I277" s="8">
        <v>85</v>
      </c>
      <c r="J277" s="8">
        <v>36</v>
      </c>
      <c r="K277" s="8" t="s">
        <v>719</v>
      </c>
      <c r="L277" s="10" t="s">
        <v>304</v>
      </c>
      <c r="M277" s="10" t="s">
        <v>302</v>
      </c>
      <c r="N277" s="9">
        <f t="shared" si="160"/>
        <v>6.7700000000000005</v>
      </c>
      <c r="O277" s="9">
        <f t="shared" si="161"/>
        <v>9</v>
      </c>
      <c r="P277" s="9">
        <v>0</v>
      </c>
      <c r="Q277" s="9">
        <v>0</v>
      </c>
      <c r="R277" s="12">
        <f t="shared" si="162"/>
        <v>7</v>
      </c>
      <c r="S277" s="12">
        <f t="shared" si="163"/>
        <v>9</v>
      </c>
      <c r="T277" s="12">
        <f t="shared" si="164"/>
        <v>16</v>
      </c>
      <c r="U277" s="9" t="str">
        <f t="shared" si="168"/>
        <v>fire</v>
      </c>
      <c r="V277" s="9" t="str">
        <f>IF(D277 = 0, "", D277)</f>
        <v>dragon</v>
      </c>
      <c r="W277" s="9" t="s">
        <v>8</v>
      </c>
      <c r="X277" s="9" t="s">
        <v>13</v>
      </c>
      <c r="Y277" s="9"/>
      <c r="Z277" s="12" t="str">
        <f t="shared" si="159"/>
        <v/>
      </c>
      <c r="AA277" s="8" t="str">
        <f t="shared" si="167"/>
        <v>Turtonator</v>
      </c>
      <c r="AC277" s="8" t="s">
        <v>717</v>
      </c>
      <c r="AD277" s="8" t="str">
        <f>VLOOKUP(AC277,moves!A:B,2,FALSE)</f>
        <v>fire</v>
      </c>
      <c r="AE277" s="8">
        <f>VLOOKUP(AC277,moves!A:D,4,FALSE)</f>
        <v>2</v>
      </c>
      <c r="AF277" s="8" t="str">
        <f>VLOOKUP(AC277,moves!A:E,5,FALSE)</f>
        <v>When the user is next attacked, the attacker takes 5 damage if a critical hit is rolled.</v>
      </c>
      <c r="AG277" s="11">
        <v>0</v>
      </c>
      <c r="AH277" s="11">
        <v>0</v>
      </c>
      <c r="AI277" s="8" t="str" cm="1">
        <f t="array" ref="AI277">_xlfn.IFS(AG277=1, "starter", AH277=1, "legendary",T277&lt; 13, "weak",T277&lt; 17, "moderate", TRUE, "strong")</f>
        <v>moderate</v>
      </c>
      <c r="AK277" s="8">
        <v>1</v>
      </c>
      <c r="AL277" s="8">
        <v>0</v>
      </c>
      <c r="AM277" s="8">
        <v>0</v>
      </c>
    </row>
    <row r="278" spans="1:39" x14ac:dyDescent="0.25">
      <c r="A278" s="9">
        <v>363</v>
      </c>
      <c r="B278" s="2" t="s">
        <v>134</v>
      </c>
      <c r="C278" s="3" t="s">
        <v>14</v>
      </c>
      <c r="D278" s="3" t="s">
        <v>6</v>
      </c>
      <c r="E278" s="1">
        <v>70</v>
      </c>
      <c r="F278" s="1">
        <v>40</v>
      </c>
      <c r="G278" s="1">
        <v>50</v>
      </c>
      <c r="H278" s="1">
        <v>55</v>
      </c>
      <c r="I278" s="1">
        <v>50</v>
      </c>
      <c r="J278" s="1">
        <v>25</v>
      </c>
      <c r="K278" s="1" t="s">
        <v>434</v>
      </c>
      <c r="L278" s="2" t="s">
        <v>303</v>
      </c>
      <c r="M278" s="2" t="s">
        <v>299</v>
      </c>
      <c r="N278" s="9">
        <f t="shared" si="160"/>
        <v>4.1500000000000004</v>
      </c>
      <c r="O278" s="9">
        <f t="shared" si="161"/>
        <v>5.8</v>
      </c>
      <c r="P278" s="9">
        <v>0</v>
      </c>
      <c r="Q278" s="9">
        <v>0</v>
      </c>
      <c r="R278" s="12">
        <f t="shared" si="162"/>
        <v>4</v>
      </c>
      <c r="S278" s="12">
        <f t="shared" si="163"/>
        <v>6</v>
      </c>
      <c r="T278" s="12">
        <f t="shared" si="164"/>
        <v>10</v>
      </c>
      <c r="U278" s="1" t="str">
        <f t="shared" si="168"/>
        <v>ice</v>
      </c>
      <c r="V278" s="1" t="str">
        <f>IF(D278 = 0, "", D278)</f>
        <v>water</v>
      </c>
      <c r="W278" s="1" t="s">
        <v>33</v>
      </c>
      <c r="X278" s="1" t="s">
        <v>8</v>
      </c>
      <c r="Y278" s="1" t="str">
        <f>B279</f>
        <v>Sealeo</v>
      </c>
      <c r="Z278" s="12">
        <f t="shared" si="159"/>
        <v>4</v>
      </c>
      <c r="AA278" t="str">
        <f t="shared" si="167"/>
        <v>Spheal</v>
      </c>
      <c r="AB278" s="2"/>
      <c r="AC278" t="s">
        <v>536</v>
      </c>
      <c r="AD278" s="8" t="str">
        <f>VLOOKUP(AC278,moves!A:B,2,FALSE)</f>
        <v>rock</v>
      </c>
      <c r="AE278" s="8">
        <f>VLOOKUP(AC278,moves!A:D,4,FALSE)</f>
        <v>2</v>
      </c>
      <c r="AF278" s="8" t="str">
        <f>VLOOKUP(AC278,moves!A:E,5,FALSE)</f>
        <v>If this move was used last turn, attack strength is increased to 4.</v>
      </c>
      <c r="AG278" s="6">
        <v>1</v>
      </c>
      <c r="AH278" s="6">
        <v>0</v>
      </c>
      <c r="AI278" s="8" t="str" cm="1">
        <f t="array" ref="AI278">_xlfn.IFS(AG278=1, "starter", AH278=1, "legendary",T278&lt; 13, "weak",T278&lt; 17, "moderate", TRUE, "strong")</f>
        <v>starter</v>
      </c>
      <c r="AK278">
        <v>1</v>
      </c>
      <c r="AL278" s="8">
        <v>0</v>
      </c>
      <c r="AM278" s="8">
        <v>0</v>
      </c>
    </row>
    <row r="279" spans="1:39" x14ac:dyDescent="0.25">
      <c r="A279" s="9">
        <v>364</v>
      </c>
      <c r="B279" s="2" t="s">
        <v>135</v>
      </c>
      <c r="C279" s="3" t="s">
        <v>14</v>
      </c>
      <c r="D279" s="3" t="s">
        <v>6</v>
      </c>
      <c r="E279" s="1">
        <v>90</v>
      </c>
      <c r="F279" s="1">
        <v>60</v>
      </c>
      <c r="G279" s="1">
        <v>70</v>
      </c>
      <c r="H279" s="1">
        <v>75</v>
      </c>
      <c r="I279" s="1">
        <v>70</v>
      </c>
      <c r="J279" s="1">
        <v>45</v>
      </c>
      <c r="K279" s="1" t="s">
        <v>435</v>
      </c>
      <c r="L279" s="1" t="s">
        <v>303</v>
      </c>
      <c r="M279" s="1" t="s">
        <v>299</v>
      </c>
      <c r="N279" s="9">
        <f t="shared" si="160"/>
        <v>6.15</v>
      </c>
      <c r="O279" s="9">
        <f t="shared" si="161"/>
        <v>7.8</v>
      </c>
      <c r="P279" s="9">
        <v>0</v>
      </c>
      <c r="Q279" s="9">
        <v>0</v>
      </c>
      <c r="R279" s="12">
        <f t="shared" si="162"/>
        <v>6</v>
      </c>
      <c r="S279" s="12">
        <f t="shared" si="163"/>
        <v>8</v>
      </c>
      <c r="T279" s="12">
        <f t="shared" si="164"/>
        <v>14</v>
      </c>
      <c r="U279" s="1" t="str">
        <f t="shared" si="168"/>
        <v>ice</v>
      </c>
      <c r="V279" s="1" t="str">
        <f>IF(D279 = 0, "", D279)</f>
        <v>water</v>
      </c>
      <c r="W279" s="1" t="s">
        <v>33</v>
      </c>
      <c r="X279" s="1" t="s">
        <v>8</v>
      </c>
      <c r="Y279" s="1" t="str">
        <f>B280</f>
        <v>Walrein</v>
      </c>
      <c r="Z279" s="12">
        <f t="shared" si="159"/>
        <v>6</v>
      </c>
      <c r="AA279" t="str">
        <f t="shared" si="167"/>
        <v>Sealeo</v>
      </c>
      <c r="AB279" s="2"/>
      <c r="AC279" t="s">
        <v>589</v>
      </c>
      <c r="AD279" s="8" t="str">
        <f>VLOOKUP(AC279,moves!A:B,2,FALSE)</f>
        <v>water</v>
      </c>
      <c r="AE279" s="8">
        <f>VLOOKUP(AC279,moves!A:D,4,FALSE)</f>
        <v>4</v>
      </c>
      <c r="AF279" s="8" t="str">
        <f>VLOOKUP(AC279,moves!A:E,5,FALSE)</f>
        <v>For each other non-fainted Pokémon in your party with the move Surf: Attack strength is increased by 1.</v>
      </c>
      <c r="AG279" s="6">
        <v>0</v>
      </c>
      <c r="AH279" s="6">
        <v>0</v>
      </c>
      <c r="AI279" s="8" t="str" cm="1">
        <f t="array" ref="AI279">_xlfn.IFS(AG279=1, "starter", AH279=1, "legendary",T279&lt; 13, "weak",T279&lt; 17, "moderate", TRUE, "strong")</f>
        <v>moderate</v>
      </c>
      <c r="AK279">
        <v>2</v>
      </c>
      <c r="AL279" s="8">
        <v>0</v>
      </c>
      <c r="AM279" s="8">
        <v>0</v>
      </c>
    </row>
    <row r="280" spans="1:39" x14ac:dyDescent="0.25">
      <c r="A280" s="9">
        <v>365</v>
      </c>
      <c r="B280" s="2" t="s">
        <v>136</v>
      </c>
      <c r="C280" s="3" t="s">
        <v>14</v>
      </c>
      <c r="D280" s="3" t="s">
        <v>6</v>
      </c>
      <c r="E280" s="1">
        <v>110</v>
      </c>
      <c r="F280" s="1">
        <v>80</v>
      </c>
      <c r="G280" s="1">
        <v>90</v>
      </c>
      <c r="H280" s="1">
        <v>95</v>
      </c>
      <c r="I280" s="1">
        <v>90</v>
      </c>
      <c r="J280" s="1">
        <v>65</v>
      </c>
      <c r="K280" s="1" t="s">
        <v>436</v>
      </c>
      <c r="L280" s="1" t="s">
        <v>303</v>
      </c>
      <c r="M280" s="1" t="s">
        <v>299</v>
      </c>
      <c r="N280" s="9">
        <f t="shared" si="160"/>
        <v>8.15</v>
      </c>
      <c r="O280" s="9">
        <f t="shared" si="161"/>
        <v>9.8000000000000007</v>
      </c>
      <c r="P280" s="9">
        <v>0</v>
      </c>
      <c r="Q280" s="9">
        <v>0</v>
      </c>
      <c r="R280" s="12">
        <f t="shared" si="162"/>
        <v>8</v>
      </c>
      <c r="S280" s="12">
        <f t="shared" si="163"/>
        <v>10</v>
      </c>
      <c r="T280" s="12">
        <f t="shared" si="164"/>
        <v>18</v>
      </c>
      <c r="U280" s="1" t="str">
        <f t="shared" si="168"/>
        <v>ice</v>
      </c>
      <c r="V280" s="1" t="str">
        <f>IF(D280 = 0, "", D280)</f>
        <v>water</v>
      </c>
      <c r="W280" s="1" t="s">
        <v>33</v>
      </c>
      <c r="X280" s="1" t="s">
        <v>8</v>
      </c>
      <c r="Y280" s="9"/>
      <c r="Z280" s="12" t="str">
        <f>IF(ISBLANK(Y280), "", ROUND(( (T282-6)*(T282-7) - (T280-6)*(T280-7) )/15, 0) + 1)</f>
        <v/>
      </c>
      <c r="AA280" t="str">
        <f t="shared" si="167"/>
        <v>Walrein</v>
      </c>
      <c r="AB280" s="2"/>
      <c r="AC280" t="s">
        <v>579</v>
      </c>
      <c r="AD280" s="8" t="str">
        <f>VLOOKUP(AC280,moves!A:B,2,FALSE)</f>
        <v>ice</v>
      </c>
      <c r="AE280" s="8">
        <f>VLOOKUP(AC280,moves!A:D,4,FALSE)</f>
        <v>5</v>
      </c>
      <c r="AF280" s="8" t="str">
        <f>VLOOKUP(AC280,moves!A:E,5,FALSE)</f>
        <v>Inflict the Frozen status on the target. Status symbols deal -2 damage.</v>
      </c>
      <c r="AG280" s="6">
        <v>0</v>
      </c>
      <c r="AH280" s="6">
        <v>0</v>
      </c>
      <c r="AI280" s="8" t="str" cm="1">
        <f t="array" ref="AI280">_xlfn.IFS(AG280=1, "starter", AH280=1, "legendary",T280&lt; 13, "weak",T280&lt; 17, "moderate", TRUE, "strong")</f>
        <v>strong</v>
      </c>
      <c r="AK280">
        <v>3</v>
      </c>
      <c r="AL280" s="8">
        <v>0</v>
      </c>
      <c r="AM280" s="8">
        <v>1</v>
      </c>
    </row>
    <row r="281" spans="1:39" s="8" customFormat="1" x14ac:dyDescent="0.25">
      <c r="A281" s="9" t="s">
        <v>1342</v>
      </c>
      <c r="B281" s="10" t="s">
        <v>136</v>
      </c>
      <c r="C281" s="3" t="s">
        <v>14</v>
      </c>
      <c r="D281" s="3" t="s">
        <v>6</v>
      </c>
      <c r="E281" s="9">
        <v>110</v>
      </c>
      <c r="F281" s="9">
        <v>80</v>
      </c>
      <c r="G281" s="9">
        <v>90</v>
      </c>
      <c r="H281" s="9">
        <v>95</v>
      </c>
      <c r="I281" s="9">
        <v>90</v>
      </c>
      <c r="J281" s="9">
        <v>65</v>
      </c>
      <c r="K281" s="9" t="s">
        <v>436</v>
      </c>
      <c r="L281" s="9" t="s">
        <v>303</v>
      </c>
      <c r="M281" s="9" t="s">
        <v>299</v>
      </c>
      <c r="N281" s="9">
        <f t="shared" ref="N281" si="169">(0.4*J281 + 0.5*MAX(F281,H281) + 0.1*MIN(F281,H281)) / 10</f>
        <v>8.15</v>
      </c>
      <c r="O281" s="9">
        <f t="shared" ref="O281" si="170">(0.4*E281 + 0.3*G281 + 0.3*I281) / 10</f>
        <v>9.8000000000000007</v>
      </c>
      <c r="P281" s="9">
        <v>1</v>
      </c>
      <c r="Q281" s="9">
        <v>2</v>
      </c>
      <c r="R281" s="12">
        <f t="shared" ref="R281" si="171">ROUND(N281,0)+P281</f>
        <v>9</v>
      </c>
      <c r="S281" s="12">
        <f t="shared" ref="S281" si="172">ROUND(O281,0)+Q281</f>
        <v>12</v>
      </c>
      <c r="T281" s="12">
        <f t="shared" ref="T281" si="173">SUM(ROUND(R281,0),ROUND(S281,0))</f>
        <v>21</v>
      </c>
      <c r="U281" s="9" t="str">
        <f t="shared" ref="U281" si="174">C281</f>
        <v>ice</v>
      </c>
      <c r="V281" s="9" t="str">
        <f>IF(D281 = 0, "", D281)</f>
        <v>water</v>
      </c>
      <c r="W281" s="9" t="s">
        <v>33</v>
      </c>
      <c r="X281" s="9" t="s">
        <v>8</v>
      </c>
      <c r="Y281" s="9"/>
      <c r="Z281" s="12" t="str">
        <f>IF(ISBLANK(Y281), "", ROUND(( (T283-6)*(T283-7) - (T281-6)*(T281-7) )/15, 0) + 1)</f>
        <v/>
      </c>
      <c r="AA281" s="8" t="str">
        <f t="shared" ref="AA281" si="175">B281</f>
        <v>Walrein</v>
      </c>
      <c r="AB281" s="10" t="s">
        <v>1338</v>
      </c>
      <c r="AC281" s="8" t="s">
        <v>579</v>
      </c>
      <c r="AD281" s="8" t="str">
        <f>VLOOKUP(AC281,moves!A:B,2,FALSE)</f>
        <v>ice</v>
      </c>
      <c r="AE281" s="8">
        <f>VLOOKUP(AC281,moves!A:D,4,FALSE)</f>
        <v>5</v>
      </c>
      <c r="AF281" s="8" t="str">
        <f>VLOOKUP(AC281,moves!A:E,5,FALSE)</f>
        <v>Inflict the Frozen status on the target. Status symbols deal -2 damage.</v>
      </c>
      <c r="AG281" s="11">
        <v>0</v>
      </c>
      <c r="AH281" s="11">
        <v>1</v>
      </c>
      <c r="AI281" s="8" t="str" cm="1">
        <f t="array" ref="AI281">_xlfn.IFS(AG281=1, "starter", AH281=1, "legendary",T281&lt; 13, "weak",T281&lt; 17, "moderate", TRUE, "strong")</f>
        <v>legendary</v>
      </c>
      <c r="AK281" s="8">
        <v>3</v>
      </c>
      <c r="AL281" s="8">
        <v>0</v>
      </c>
      <c r="AM281" s="8">
        <v>2</v>
      </c>
    </row>
    <row r="282" spans="1:39" s="8" customFormat="1" x14ac:dyDescent="0.25">
      <c r="A282" s="9">
        <v>137</v>
      </c>
      <c r="B282" s="10" t="s">
        <v>802</v>
      </c>
      <c r="C282" s="3" t="s">
        <v>8</v>
      </c>
      <c r="D282" s="3"/>
      <c r="E282" s="9">
        <v>65</v>
      </c>
      <c r="F282" s="9">
        <v>60</v>
      </c>
      <c r="G282" s="9">
        <v>70</v>
      </c>
      <c r="H282" s="9">
        <v>85</v>
      </c>
      <c r="I282" s="9">
        <v>75</v>
      </c>
      <c r="J282" s="9">
        <v>40</v>
      </c>
      <c r="K282" s="9" t="s">
        <v>611</v>
      </c>
      <c r="L282" s="9"/>
      <c r="M282" s="9" t="s">
        <v>554</v>
      </c>
      <c r="N282" s="9">
        <f t="shared" si="160"/>
        <v>6.45</v>
      </c>
      <c r="O282" s="9">
        <f t="shared" si="161"/>
        <v>6.95</v>
      </c>
      <c r="P282" s="9">
        <v>0</v>
      </c>
      <c r="Q282" s="9">
        <v>0</v>
      </c>
      <c r="R282" s="12">
        <f>ROUND(N282,0)+P282</f>
        <v>6</v>
      </c>
      <c r="S282" s="12">
        <f>ROUND(O282,0)+Q282</f>
        <v>7</v>
      </c>
      <c r="T282" s="12">
        <f>SUM(ROUND(R282,0),ROUND(S282,0))</f>
        <v>13</v>
      </c>
      <c r="U282" s="9" t="str">
        <f t="shared" si="168"/>
        <v>normal</v>
      </c>
      <c r="V282" s="9" t="s">
        <v>11</v>
      </c>
      <c r="W282" s="9" t="s">
        <v>14</v>
      </c>
      <c r="X282" s="9" t="s">
        <v>26</v>
      </c>
      <c r="Y282" s="9" t="str">
        <f t="shared" ref="Y282:Y291" si="176">B283</f>
        <v>Porygon2</v>
      </c>
      <c r="Z282" s="12">
        <f t="shared" ref="Z282:Z293" si="177">IF(ISBLANK(Y282), "", ROUND(( (T283-6)*(T283-7) - (T282-6)*(T282-7) )/15, 0) + 1)</f>
        <v>6</v>
      </c>
      <c r="AA282" s="8" t="str">
        <f t="shared" si="167"/>
        <v>Porygon</v>
      </c>
      <c r="AB282" s="10"/>
      <c r="AC282" s="8" t="s">
        <v>803</v>
      </c>
      <c r="AD282" s="8" t="str">
        <f>VLOOKUP(AC282,moves!A:B,2,FALSE)</f>
        <v>normal</v>
      </c>
      <c r="AE282" s="8">
        <f>VLOOKUP(AC282,moves!A:D,4,FALSE)</f>
        <v>2</v>
      </c>
      <c r="AF282" s="8" t="str">
        <f>VLOOKUP(AC282,moves!A:E,5,FALSE)</f>
        <v>When the user next attacks, add a critical hit to the roll.</v>
      </c>
      <c r="AG282" s="11">
        <v>1</v>
      </c>
      <c r="AH282" s="11">
        <v>0</v>
      </c>
      <c r="AI282" s="8" t="str" cm="1">
        <f t="array" ref="AI282">_xlfn.IFS(AG282=1, "starter", AH282=1, "legendary",T282&lt; 13, "weak",T282&lt; 17, "moderate", TRUE, "strong")</f>
        <v>starter</v>
      </c>
      <c r="AK282" s="8">
        <v>1</v>
      </c>
      <c r="AL282" s="8">
        <v>0</v>
      </c>
      <c r="AM282" s="8">
        <v>0</v>
      </c>
    </row>
    <row r="283" spans="1:39" s="8" customFormat="1" x14ac:dyDescent="0.25">
      <c r="A283" s="9">
        <v>233</v>
      </c>
      <c r="B283" s="10" t="s">
        <v>805</v>
      </c>
      <c r="C283" s="3" t="s">
        <v>8</v>
      </c>
      <c r="D283" s="3"/>
      <c r="E283" s="9">
        <v>85</v>
      </c>
      <c r="F283" s="9">
        <v>80</v>
      </c>
      <c r="G283" s="9">
        <v>90</v>
      </c>
      <c r="H283" s="9">
        <v>105</v>
      </c>
      <c r="I283" s="9">
        <v>95</v>
      </c>
      <c r="J283" s="9">
        <v>60</v>
      </c>
      <c r="K283" s="9" t="s">
        <v>611</v>
      </c>
      <c r="L283" s="9"/>
      <c r="M283" s="9" t="s">
        <v>554</v>
      </c>
      <c r="N283" s="9">
        <f t="shared" ref="N283:N293" si="178">(0.4*J283 + 0.5*MAX(F283,H283) + 0.1*MIN(F283,H283)) / 10</f>
        <v>8.4499999999999993</v>
      </c>
      <c r="O283" s="9">
        <f t="shared" ref="O283:O293" si="179">(0.4*E283 + 0.3*G283 + 0.3*I283) / 10</f>
        <v>8.9499999999999993</v>
      </c>
      <c r="P283" s="9">
        <v>0</v>
      </c>
      <c r="Q283" s="9">
        <v>0</v>
      </c>
      <c r="R283" s="12">
        <f t="shared" ref="R283:R293" si="180">ROUND(N283,0)+P283</f>
        <v>8</v>
      </c>
      <c r="S283" s="12">
        <f t="shared" ref="S283:S293" si="181">ROUND(O283,0)+Q283</f>
        <v>9</v>
      </c>
      <c r="T283" s="12">
        <f t="shared" ref="T283:T293" si="182">SUM(ROUND(R283,0),ROUND(S283,0))</f>
        <v>17</v>
      </c>
      <c r="U283" s="9" t="str">
        <f>C283</f>
        <v>normal</v>
      </c>
      <c r="V283" s="9" t="s">
        <v>11</v>
      </c>
      <c r="W283" s="9" t="s">
        <v>14</v>
      </c>
      <c r="X283" s="9" t="s">
        <v>26</v>
      </c>
      <c r="Y283" s="9" t="str">
        <f t="shared" si="176"/>
        <v>Porygon-Z</v>
      </c>
      <c r="Z283" s="12">
        <f t="shared" si="177"/>
        <v>4</v>
      </c>
      <c r="AA283" s="8" t="str">
        <f t="shared" si="167"/>
        <v>Porygon2</v>
      </c>
      <c r="AB283" s="10"/>
      <c r="AC283" s="8" t="s">
        <v>804</v>
      </c>
      <c r="AD283" s="8" t="str">
        <f>VLOOKUP(AC283,moves!A:B,2,FALSE)</f>
        <v>normal</v>
      </c>
      <c r="AE283" s="8">
        <f>VLOOKUP(AC283,moves!A:D,4,FALSE)</f>
        <v>3</v>
      </c>
      <c r="AF283" s="8" t="str">
        <f>VLOOKUP(AC283,moves!A:E,5,FALSE)</f>
        <v>Until the user switches out: When the user is attacked, positive type effectiveness damage is reduced to 0.</v>
      </c>
      <c r="AG283" s="11">
        <v>0</v>
      </c>
      <c r="AH283" s="11">
        <v>0</v>
      </c>
      <c r="AI283" s="8" t="str" cm="1">
        <f t="array" ref="AI283">_xlfn.IFS(AG283=1, "starter", AH283=1, "legendary",T283&lt; 13, "weak",T283&lt; 17, "moderate", TRUE, "strong")</f>
        <v>strong</v>
      </c>
      <c r="AK283" s="8">
        <v>2</v>
      </c>
      <c r="AL283" s="8">
        <v>0</v>
      </c>
      <c r="AM283" s="8">
        <v>0</v>
      </c>
    </row>
    <row r="284" spans="1:39" s="8" customFormat="1" x14ac:dyDescent="0.25">
      <c r="A284" s="9">
        <v>474</v>
      </c>
      <c r="B284" s="10" t="s">
        <v>462</v>
      </c>
      <c r="C284" s="3" t="s">
        <v>8</v>
      </c>
      <c r="D284" s="3"/>
      <c r="E284" s="10">
        <v>85</v>
      </c>
      <c r="F284" s="10">
        <v>80</v>
      </c>
      <c r="G284" s="10">
        <v>70</v>
      </c>
      <c r="H284" s="10">
        <v>135</v>
      </c>
      <c r="I284" s="10">
        <v>75</v>
      </c>
      <c r="J284" s="10">
        <v>90</v>
      </c>
      <c r="K284" s="9" t="s">
        <v>611</v>
      </c>
      <c r="L284" s="9"/>
      <c r="M284" s="9" t="s">
        <v>554</v>
      </c>
      <c r="N284" s="9">
        <f t="shared" si="178"/>
        <v>11.15</v>
      </c>
      <c r="O284" s="9">
        <f t="shared" si="179"/>
        <v>7.75</v>
      </c>
      <c r="P284" s="9">
        <v>0</v>
      </c>
      <c r="Q284" s="9">
        <v>0</v>
      </c>
      <c r="R284" s="12">
        <f t="shared" si="180"/>
        <v>11</v>
      </c>
      <c r="S284" s="12">
        <f t="shared" si="181"/>
        <v>8</v>
      </c>
      <c r="T284" s="12">
        <f t="shared" si="182"/>
        <v>19</v>
      </c>
      <c r="U284" s="9" t="str">
        <f>C284</f>
        <v>normal</v>
      </c>
      <c r="V284" s="9" t="s">
        <v>11</v>
      </c>
      <c r="W284" s="9" t="s">
        <v>14</v>
      </c>
      <c r="X284" s="9" t="s">
        <v>26</v>
      </c>
      <c r="Y284" s="9"/>
      <c r="Z284" s="12" t="str">
        <f>IF(ISBLANK(Y284), "", ROUND(( (T286-6)*(T286-7) - (T284-6)*(T284-7) )/15, 0) + 1)</f>
        <v/>
      </c>
      <c r="AA284" s="8" t="str">
        <f t="shared" si="167"/>
        <v>Porygon-Z</v>
      </c>
      <c r="AB284" s="10"/>
      <c r="AC284" s="8" t="s">
        <v>535</v>
      </c>
      <c r="AD284" s="8" t="str">
        <f>VLOOKUP(AC284,moves!A:B,2,FALSE)</f>
        <v>normal</v>
      </c>
      <c r="AE284" s="8">
        <f>VLOOKUP(AC284,moves!A:D,4,FALSE)</f>
        <v>4</v>
      </c>
      <c r="AF284" s="8" t="str">
        <f>VLOOKUP(AC284,moves!A:E,5,FALSE)</f>
        <v>If a status symbol is rolled: Roll a status dice and inflict the result on the target.</v>
      </c>
      <c r="AG284" s="11">
        <v>0</v>
      </c>
      <c r="AH284" s="11">
        <v>0</v>
      </c>
      <c r="AI284" s="8" t="str" cm="1">
        <f t="array" ref="AI284">_xlfn.IFS(AG284=1, "starter", AH284=1, "legendary",T284&lt; 13, "weak",T284&lt; 17, "moderate", TRUE, "strong")</f>
        <v>strong</v>
      </c>
      <c r="AK284" s="8">
        <v>3</v>
      </c>
      <c r="AL284" s="8">
        <v>0</v>
      </c>
      <c r="AM284" s="8">
        <v>1</v>
      </c>
    </row>
    <row r="285" spans="1:39" s="8" customFormat="1" x14ac:dyDescent="0.25">
      <c r="A285" s="9" t="s">
        <v>1343</v>
      </c>
      <c r="B285" s="10" t="s">
        <v>462</v>
      </c>
      <c r="C285" s="3" t="s">
        <v>8</v>
      </c>
      <c r="D285" s="3"/>
      <c r="E285" s="10">
        <v>85</v>
      </c>
      <c r="F285" s="10">
        <v>80</v>
      </c>
      <c r="G285" s="10">
        <v>70</v>
      </c>
      <c r="H285" s="10">
        <v>135</v>
      </c>
      <c r="I285" s="10">
        <v>75</v>
      </c>
      <c r="J285" s="10">
        <v>90</v>
      </c>
      <c r="K285" s="9" t="s">
        <v>611</v>
      </c>
      <c r="L285" s="9"/>
      <c r="M285" s="9" t="s">
        <v>554</v>
      </c>
      <c r="N285" s="9">
        <f t="shared" ref="N285" si="183">(0.4*J285 + 0.5*MAX(F285,H285) + 0.1*MIN(F285,H285)) / 10</f>
        <v>11.15</v>
      </c>
      <c r="O285" s="9">
        <f t="shared" ref="O285" si="184">(0.4*E285 + 0.3*G285 + 0.3*I285) / 10</f>
        <v>7.75</v>
      </c>
      <c r="P285" s="9">
        <v>1</v>
      </c>
      <c r="Q285" s="9">
        <v>2</v>
      </c>
      <c r="R285" s="12">
        <f t="shared" ref="R285" si="185">ROUND(N285,0)+P285</f>
        <v>12</v>
      </c>
      <c r="S285" s="12">
        <f t="shared" ref="S285" si="186">ROUND(O285,0)+Q285</f>
        <v>10</v>
      </c>
      <c r="T285" s="12">
        <f t="shared" ref="T285" si="187">SUM(ROUND(R285,0),ROUND(S285,0))</f>
        <v>22</v>
      </c>
      <c r="U285" s="9" t="str">
        <f>C285</f>
        <v>normal</v>
      </c>
      <c r="V285" s="9" t="s">
        <v>11</v>
      </c>
      <c r="W285" s="9" t="s">
        <v>14</v>
      </c>
      <c r="X285" s="9" t="s">
        <v>26</v>
      </c>
      <c r="Y285" s="9"/>
      <c r="Z285" s="12" t="str">
        <f>IF(ISBLANK(Y285), "", ROUND(( (T287-6)*(T287-7) - (T285-6)*(T285-7) )/15, 0) + 1)</f>
        <v/>
      </c>
      <c r="AA285" s="8" t="str">
        <f t="shared" ref="AA285" si="188">B285</f>
        <v>Porygon-Z</v>
      </c>
      <c r="AB285" s="10" t="s">
        <v>1338</v>
      </c>
      <c r="AC285" s="8" t="s">
        <v>535</v>
      </c>
      <c r="AD285" s="8" t="str">
        <f>VLOOKUP(AC285,moves!A:B,2,FALSE)</f>
        <v>normal</v>
      </c>
      <c r="AE285" s="8">
        <f>VLOOKUP(AC285,moves!A:D,4,FALSE)</f>
        <v>4</v>
      </c>
      <c r="AF285" s="8" t="str">
        <f>VLOOKUP(AC285,moves!A:E,5,FALSE)</f>
        <v>If a status symbol is rolled: Roll a status dice and inflict the result on the target.</v>
      </c>
      <c r="AG285" s="11">
        <v>0</v>
      </c>
      <c r="AH285" s="11">
        <v>1</v>
      </c>
      <c r="AI285" s="8" t="str" cm="1">
        <f t="array" ref="AI285">_xlfn.IFS(AG285=1, "starter", AH285=1, "legendary",T285&lt; 13, "weak",T285&lt; 17, "moderate", TRUE, "strong")</f>
        <v>legendary</v>
      </c>
      <c r="AK285" s="8">
        <v>3</v>
      </c>
      <c r="AL285" s="8">
        <v>0</v>
      </c>
      <c r="AM285" s="8">
        <v>2</v>
      </c>
    </row>
    <row r="286" spans="1:39" s="8" customFormat="1" x14ac:dyDescent="0.25">
      <c r="A286" s="9">
        <v>46</v>
      </c>
      <c r="B286" s="10" t="s">
        <v>807</v>
      </c>
      <c r="C286" s="3" t="s">
        <v>7</v>
      </c>
      <c r="D286" s="3" t="s">
        <v>2</v>
      </c>
      <c r="E286" s="10">
        <v>35</v>
      </c>
      <c r="F286" s="10">
        <v>70</v>
      </c>
      <c r="G286" s="10">
        <v>55</v>
      </c>
      <c r="H286" s="10">
        <v>45</v>
      </c>
      <c r="I286" s="10">
        <v>55</v>
      </c>
      <c r="J286" s="10">
        <v>25</v>
      </c>
      <c r="K286" s="9" t="s">
        <v>808</v>
      </c>
      <c r="L286" s="9" t="s">
        <v>298</v>
      </c>
      <c r="M286" s="9" t="s">
        <v>300</v>
      </c>
      <c r="N286" s="9">
        <f t="shared" si="178"/>
        <v>4.95</v>
      </c>
      <c r="O286" s="9">
        <f t="shared" si="179"/>
        <v>4.7</v>
      </c>
      <c r="P286" s="9">
        <v>0</v>
      </c>
      <c r="Q286" s="9">
        <v>0</v>
      </c>
      <c r="R286" s="12">
        <f t="shared" si="180"/>
        <v>5</v>
      </c>
      <c r="S286" s="12">
        <f t="shared" si="181"/>
        <v>5</v>
      </c>
      <c r="T286" s="12">
        <f t="shared" si="182"/>
        <v>10</v>
      </c>
      <c r="U286" s="9" t="str">
        <f>C286</f>
        <v>bug</v>
      </c>
      <c r="V286" s="9" t="str">
        <f>IF(D286 = 0, "", D286)</f>
        <v>grass</v>
      </c>
      <c r="W286" s="9" t="s">
        <v>3</v>
      </c>
      <c r="X286" s="9" t="s">
        <v>8</v>
      </c>
      <c r="Y286" s="9" t="str">
        <f t="shared" si="176"/>
        <v>Parasect</v>
      </c>
      <c r="Z286" s="12">
        <f t="shared" si="177"/>
        <v>4</v>
      </c>
      <c r="AA286" s="8" t="str">
        <f t="shared" si="167"/>
        <v>Paras</v>
      </c>
      <c r="AB286" s="10"/>
      <c r="AC286" s="8" t="s">
        <v>809</v>
      </c>
      <c r="AD286" s="8" t="str">
        <f>VLOOKUP(AC286,moves!A:B,2,FALSE)</f>
        <v>grass</v>
      </c>
      <c r="AE286" s="8">
        <f>VLOOKUP(AC286,moves!A:D,4,FALSE)</f>
        <v>2</v>
      </c>
      <c r="AF286" s="8" t="str">
        <f>VLOOKUP(AC286,moves!A:E,5,FALSE)</f>
        <v>Inflict the Drowsy status on the target.</v>
      </c>
      <c r="AG286" s="11">
        <v>0</v>
      </c>
      <c r="AH286" s="11">
        <v>0</v>
      </c>
      <c r="AI286" s="8" t="str" cm="1">
        <f t="array" ref="AI286">_xlfn.IFS(AG286=1, "starter", AH286=1, "legendary",T286&lt; 13, "weak",T286&lt; 17, "moderate", TRUE, "strong")</f>
        <v>weak</v>
      </c>
      <c r="AK286" s="8">
        <v>1</v>
      </c>
      <c r="AL286" s="8">
        <v>0</v>
      </c>
      <c r="AM286" s="8">
        <v>0</v>
      </c>
    </row>
    <row r="287" spans="1:39" s="8" customFormat="1" x14ac:dyDescent="0.25">
      <c r="A287" s="9">
        <v>47</v>
      </c>
      <c r="B287" s="10" t="s">
        <v>810</v>
      </c>
      <c r="C287" s="3" t="s">
        <v>7</v>
      </c>
      <c r="D287" s="3" t="s">
        <v>2</v>
      </c>
      <c r="E287" s="10">
        <v>60</v>
      </c>
      <c r="F287" s="10">
        <v>95</v>
      </c>
      <c r="G287" s="10">
        <v>80</v>
      </c>
      <c r="H287" s="10">
        <v>60</v>
      </c>
      <c r="I287" s="10">
        <v>80</v>
      </c>
      <c r="J287" s="10">
        <v>30</v>
      </c>
      <c r="K287" s="9" t="s">
        <v>808</v>
      </c>
      <c r="L287" s="9" t="s">
        <v>298</v>
      </c>
      <c r="M287" s="9" t="s">
        <v>300</v>
      </c>
      <c r="N287" s="9">
        <f t="shared" si="178"/>
        <v>6.55</v>
      </c>
      <c r="O287" s="9">
        <f t="shared" si="179"/>
        <v>7.2</v>
      </c>
      <c r="P287" s="9">
        <v>0</v>
      </c>
      <c r="Q287" s="9">
        <v>0</v>
      </c>
      <c r="R287" s="12">
        <f t="shared" si="180"/>
        <v>7</v>
      </c>
      <c r="S287" s="12">
        <f t="shared" si="181"/>
        <v>7</v>
      </c>
      <c r="T287" s="12">
        <f t="shared" si="182"/>
        <v>14</v>
      </c>
      <c r="U287" s="9" t="str">
        <f t="shared" ref="U287:U293" si="189">C287</f>
        <v>bug</v>
      </c>
      <c r="V287" s="9" t="str">
        <f>IF(D287 = 0, "", D287)</f>
        <v>grass</v>
      </c>
      <c r="W287" s="9" t="s">
        <v>3</v>
      </c>
      <c r="X287" s="9" t="s">
        <v>8</v>
      </c>
      <c r="Y287" s="9"/>
      <c r="Z287" s="12" t="str">
        <f t="shared" si="177"/>
        <v/>
      </c>
      <c r="AA287" s="8" t="str">
        <f t="shared" si="167"/>
        <v>Parasect</v>
      </c>
      <c r="AB287" s="10"/>
      <c r="AC287" s="8" t="s">
        <v>670</v>
      </c>
      <c r="AD287" s="8" t="str">
        <f>VLOOKUP(AC287,moves!A:B,2,FALSE)</f>
        <v>bug</v>
      </c>
      <c r="AE287" s="8">
        <f>VLOOKUP(AC287,moves!A:D,4,FALSE)</f>
        <v>4</v>
      </c>
      <c r="AF287" s="8" t="str">
        <f>VLOOKUP(AC287,moves!A:E,5,FALSE)</f>
        <v>Critical hits deal +1 damage.</v>
      </c>
      <c r="AG287" s="11">
        <v>0</v>
      </c>
      <c r="AH287" s="11">
        <v>0</v>
      </c>
      <c r="AI287" s="8" t="str" cm="1">
        <f t="array" ref="AI287">_xlfn.IFS(AG287=1, "starter", AH287=1, "legendary",T287&lt; 13, "weak",T287&lt; 17, "moderate", TRUE, "strong")</f>
        <v>moderate</v>
      </c>
      <c r="AK287" s="8">
        <v>2</v>
      </c>
      <c r="AL287" s="8">
        <v>0</v>
      </c>
      <c r="AM287" s="8">
        <v>0</v>
      </c>
    </row>
    <row r="288" spans="1:39" s="8" customFormat="1" x14ac:dyDescent="0.25">
      <c r="A288" s="9">
        <v>704</v>
      </c>
      <c r="B288" s="10" t="s">
        <v>812</v>
      </c>
      <c r="C288" s="3" t="s">
        <v>67</v>
      </c>
      <c r="D288" s="3"/>
      <c r="E288" s="10">
        <v>45</v>
      </c>
      <c r="F288" s="10">
        <v>50</v>
      </c>
      <c r="G288" s="10">
        <v>35</v>
      </c>
      <c r="H288" s="10">
        <v>55</v>
      </c>
      <c r="I288" s="10">
        <v>75</v>
      </c>
      <c r="J288" s="10">
        <v>40</v>
      </c>
      <c r="K288" s="9" t="s">
        <v>813</v>
      </c>
      <c r="L288" s="9" t="s">
        <v>298</v>
      </c>
      <c r="M288" s="9" t="s">
        <v>302</v>
      </c>
      <c r="N288" s="9">
        <f t="shared" si="178"/>
        <v>4.8499999999999996</v>
      </c>
      <c r="O288" s="9">
        <f t="shared" si="179"/>
        <v>5.0999999999999996</v>
      </c>
      <c r="P288" s="9">
        <v>0</v>
      </c>
      <c r="Q288" s="9">
        <v>0</v>
      </c>
      <c r="R288" s="12">
        <f t="shared" si="180"/>
        <v>5</v>
      </c>
      <c r="S288" s="12">
        <f t="shared" si="181"/>
        <v>5</v>
      </c>
      <c r="T288" s="12">
        <f t="shared" si="182"/>
        <v>10</v>
      </c>
      <c r="U288" s="9" t="str">
        <f t="shared" si="189"/>
        <v>dragon</v>
      </c>
      <c r="V288" s="9" t="s">
        <v>6</v>
      </c>
      <c r="W288" s="9" t="s">
        <v>3</v>
      </c>
      <c r="X288" s="9" t="s">
        <v>39</v>
      </c>
      <c r="Y288" s="9" t="str">
        <f t="shared" si="176"/>
        <v>Sliggoo</v>
      </c>
      <c r="Z288" s="12">
        <f t="shared" si="177"/>
        <v>4</v>
      </c>
      <c r="AA288" s="8" t="str">
        <f t="shared" si="167"/>
        <v>Goomy</v>
      </c>
      <c r="AB288" s="10"/>
      <c r="AC288" s="8" t="s">
        <v>814</v>
      </c>
      <c r="AD288" s="8" t="str">
        <f>VLOOKUP(AC288,moves!A:B,2,FALSE)</f>
        <v>steel</v>
      </c>
      <c r="AE288" s="8">
        <f>VLOOKUP(AC288,moves!A:D,4,FALSE)</f>
        <v>1</v>
      </c>
      <c r="AF288" s="8" t="str">
        <f>VLOOKUP(AC288,moves!A:E,5,FALSE)</f>
        <v>When the user is next attacked, remove 2 regular hits from the roll and status symbols deal -1 damage.</v>
      </c>
      <c r="AG288" s="11">
        <v>0</v>
      </c>
      <c r="AH288" s="11">
        <v>0</v>
      </c>
      <c r="AI288" s="8" t="str" cm="1">
        <f t="array" ref="AI288">_xlfn.IFS(AG288=1, "starter", AH288=1, "legendary",T288&lt; 13, "weak",T288&lt; 17, "moderate", TRUE, "strong")</f>
        <v>weak</v>
      </c>
      <c r="AK288" s="8">
        <v>1</v>
      </c>
      <c r="AL288" s="8">
        <v>0</v>
      </c>
      <c r="AM288" s="8">
        <v>0</v>
      </c>
    </row>
    <row r="289" spans="1:39" s="8" customFormat="1" x14ac:dyDescent="0.25">
      <c r="A289" s="9">
        <v>705</v>
      </c>
      <c r="B289" s="10" t="s">
        <v>816</v>
      </c>
      <c r="C289" s="3" t="s">
        <v>67</v>
      </c>
      <c r="D289" s="3"/>
      <c r="E289" s="10">
        <v>68</v>
      </c>
      <c r="F289" s="10">
        <v>75</v>
      </c>
      <c r="G289" s="10">
        <v>53</v>
      </c>
      <c r="H289" s="10">
        <v>83</v>
      </c>
      <c r="I289" s="10">
        <v>113</v>
      </c>
      <c r="J289" s="10">
        <v>60</v>
      </c>
      <c r="K289" s="9" t="s">
        <v>813</v>
      </c>
      <c r="L289" s="9" t="s">
        <v>298</v>
      </c>
      <c r="M289" s="9" t="s">
        <v>302</v>
      </c>
      <c r="N289" s="9">
        <f t="shared" si="178"/>
        <v>7.3</v>
      </c>
      <c r="O289" s="9">
        <f t="shared" si="179"/>
        <v>7.7</v>
      </c>
      <c r="P289" s="9">
        <v>0</v>
      </c>
      <c r="Q289" s="9">
        <v>-1</v>
      </c>
      <c r="R289" s="12">
        <f t="shared" si="180"/>
        <v>7</v>
      </c>
      <c r="S289" s="12">
        <f t="shared" si="181"/>
        <v>7</v>
      </c>
      <c r="T289" s="12">
        <f t="shared" si="182"/>
        <v>14</v>
      </c>
      <c r="U289" s="9" t="str">
        <f t="shared" si="189"/>
        <v>dragon</v>
      </c>
      <c r="V289" s="9" t="s">
        <v>6</v>
      </c>
      <c r="W289" s="9" t="s">
        <v>3</v>
      </c>
      <c r="X289" s="9" t="s">
        <v>39</v>
      </c>
      <c r="Y289" s="9" t="str">
        <f t="shared" si="176"/>
        <v>Goodra</v>
      </c>
      <c r="Z289" s="12">
        <f t="shared" si="177"/>
        <v>11</v>
      </c>
      <c r="AA289" s="8" t="str">
        <f t="shared" si="167"/>
        <v>Sliggoo</v>
      </c>
      <c r="AB289" s="10"/>
      <c r="AC289" s="8" t="s">
        <v>546</v>
      </c>
      <c r="AD289" s="8" t="str">
        <f>VLOOKUP(AC289,moves!A:B,2,FALSE)</f>
        <v>water</v>
      </c>
      <c r="AE289" s="8">
        <f>VLOOKUP(AC289,moves!A:D,4,FALSE)</f>
        <v>3</v>
      </c>
      <c r="AF289" s="8" t="str">
        <f>VLOOKUP(AC289,moves!A:E,5,FALSE)</f>
        <v>If a status symbol is rolled: Inflict the Confused status on the target.</v>
      </c>
      <c r="AG289" s="11">
        <v>0</v>
      </c>
      <c r="AH289" s="11">
        <v>0</v>
      </c>
      <c r="AI289" s="8" t="str" cm="1">
        <f t="array" ref="AI289">_xlfn.IFS(AG289=1, "starter", AH289=1, "legendary",T289&lt; 13, "weak",T289&lt; 17, "moderate", TRUE, "strong")</f>
        <v>moderate</v>
      </c>
      <c r="AK289" s="8">
        <v>2</v>
      </c>
      <c r="AL289" s="8">
        <v>0</v>
      </c>
      <c r="AM289" s="8">
        <v>0</v>
      </c>
    </row>
    <row r="290" spans="1:39" s="8" customFormat="1" x14ac:dyDescent="0.25">
      <c r="A290" s="9">
        <v>706</v>
      </c>
      <c r="B290" s="10" t="s">
        <v>817</v>
      </c>
      <c r="C290" s="3" t="s">
        <v>67</v>
      </c>
      <c r="D290" s="3"/>
      <c r="E290" s="10">
        <v>90</v>
      </c>
      <c r="F290" s="10">
        <v>100</v>
      </c>
      <c r="G290" s="10">
        <v>70</v>
      </c>
      <c r="H290" s="10">
        <v>110</v>
      </c>
      <c r="I290" s="10">
        <v>150</v>
      </c>
      <c r="J290" s="10">
        <v>80</v>
      </c>
      <c r="K290" s="9" t="s">
        <v>268</v>
      </c>
      <c r="L290" s="9" t="s">
        <v>298</v>
      </c>
      <c r="M290" s="9" t="s">
        <v>302</v>
      </c>
      <c r="N290" s="9">
        <f t="shared" si="178"/>
        <v>9.6999999999999993</v>
      </c>
      <c r="O290" s="9">
        <f t="shared" si="179"/>
        <v>10.199999999999999</v>
      </c>
      <c r="P290" s="9">
        <v>-1</v>
      </c>
      <c r="Q290" s="9">
        <v>2</v>
      </c>
      <c r="R290" s="12">
        <f t="shared" si="180"/>
        <v>9</v>
      </c>
      <c r="S290" s="12">
        <f t="shared" si="181"/>
        <v>12</v>
      </c>
      <c r="T290" s="12">
        <f t="shared" si="182"/>
        <v>21</v>
      </c>
      <c r="U290" s="9" t="str">
        <f t="shared" si="189"/>
        <v>dragon</v>
      </c>
      <c r="V290" s="9" t="s">
        <v>6</v>
      </c>
      <c r="W290" s="9" t="s">
        <v>3</v>
      </c>
      <c r="X290" s="9" t="s">
        <v>39</v>
      </c>
      <c r="Y290" s="9"/>
      <c r="Z290" s="12" t="str">
        <f t="shared" si="177"/>
        <v/>
      </c>
      <c r="AA290" s="8" t="str">
        <f t="shared" si="167"/>
        <v>Goodra</v>
      </c>
      <c r="AB290" s="10"/>
      <c r="AC290" s="8" t="s">
        <v>815</v>
      </c>
      <c r="AD290" s="8" t="str">
        <f>VLOOKUP(AC290,moves!A:B,2,FALSE)</f>
        <v>dragon</v>
      </c>
      <c r="AE290" s="8">
        <f>VLOOKUP(AC290,moves!A:D,4,FALSE)</f>
        <v>4</v>
      </c>
      <c r="AF290" s="8" t="str">
        <f>VLOOKUP(AC290,moves!A:E,5,FALSE)</f>
        <v>Status symbols deal +1 damage.</v>
      </c>
      <c r="AG290" s="11">
        <v>0</v>
      </c>
      <c r="AH290" s="11">
        <v>0</v>
      </c>
      <c r="AI290" s="8" t="str" cm="1">
        <f t="array" ref="AI290">_xlfn.IFS(AG290=1, "starter", AH290=1, "legendary",T290&lt; 13, "weak",T290&lt; 17, "moderate", TRUE, "strong")</f>
        <v>strong</v>
      </c>
      <c r="AK290" s="8">
        <v>3</v>
      </c>
      <c r="AL290" s="8">
        <v>0</v>
      </c>
      <c r="AM290" s="8">
        <v>0</v>
      </c>
    </row>
    <row r="291" spans="1:39" s="8" customFormat="1" x14ac:dyDescent="0.25">
      <c r="A291" s="9">
        <v>548</v>
      </c>
      <c r="B291" s="10" t="s">
        <v>818</v>
      </c>
      <c r="C291" s="3" t="s">
        <v>2</v>
      </c>
      <c r="D291" s="3"/>
      <c r="E291" s="10">
        <v>45</v>
      </c>
      <c r="F291" s="10">
        <v>35</v>
      </c>
      <c r="G291" s="10">
        <v>50</v>
      </c>
      <c r="H291" s="10">
        <v>70</v>
      </c>
      <c r="I291" s="10">
        <v>50</v>
      </c>
      <c r="J291" s="10">
        <v>30</v>
      </c>
      <c r="K291" s="9" t="s">
        <v>819</v>
      </c>
      <c r="L291" s="9" t="s">
        <v>298</v>
      </c>
      <c r="M291" s="9" t="s">
        <v>300</v>
      </c>
      <c r="N291" s="9">
        <f t="shared" si="178"/>
        <v>5.05</v>
      </c>
      <c r="O291" s="9">
        <f t="shared" si="179"/>
        <v>4.8</v>
      </c>
      <c r="P291" s="9">
        <v>0</v>
      </c>
      <c r="Q291" s="9">
        <v>0</v>
      </c>
      <c r="R291" s="12">
        <f t="shared" si="180"/>
        <v>5</v>
      </c>
      <c r="S291" s="12">
        <f t="shared" si="181"/>
        <v>5</v>
      </c>
      <c r="T291" s="12">
        <f t="shared" si="182"/>
        <v>10</v>
      </c>
      <c r="U291" s="9" t="str">
        <f t="shared" si="189"/>
        <v>grass</v>
      </c>
      <c r="V291" s="9" t="s">
        <v>8</v>
      </c>
      <c r="W291" s="9" t="s">
        <v>7</v>
      </c>
      <c r="X291" s="9" t="s">
        <v>22</v>
      </c>
      <c r="Y291" s="9" t="str">
        <f t="shared" si="176"/>
        <v>Lilligant</v>
      </c>
      <c r="Z291" s="12">
        <f t="shared" si="177"/>
        <v>8</v>
      </c>
      <c r="AA291" s="8" t="str">
        <f t="shared" si="167"/>
        <v>Petilil</v>
      </c>
      <c r="AB291" s="10"/>
      <c r="AC291" s="8" t="s">
        <v>822</v>
      </c>
      <c r="AD291" s="8" t="str">
        <f>VLOOKUP(AC291,moves!A:B,2,FALSE)</f>
        <v>grass</v>
      </c>
      <c r="AE291" s="8">
        <f>VLOOKUP(AC291,moves!A:D,4,FALSE)</f>
        <v>1</v>
      </c>
      <c r="AF291" s="8" t="str">
        <f>VLOOKUP(AC291,moves!A:E,5,FALSE)</f>
        <v>Inflict the Paralysed status on the target. If the target is already Paralysed, attack strength is increased to 3.</v>
      </c>
      <c r="AG291" s="11">
        <v>0</v>
      </c>
      <c r="AH291" s="11">
        <v>0</v>
      </c>
      <c r="AI291" s="8" t="str" cm="1">
        <f t="array" ref="AI291">_xlfn.IFS(AG291=1, "starter", AH291=1, "legendary",T291&lt; 13, "weak",T291&lt; 17, "moderate", TRUE, "strong")</f>
        <v>weak</v>
      </c>
      <c r="AK291" s="8">
        <v>1</v>
      </c>
      <c r="AL291" s="8">
        <v>0</v>
      </c>
      <c r="AM291" s="8">
        <v>0</v>
      </c>
    </row>
    <row r="292" spans="1:39" s="8" customFormat="1" x14ac:dyDescent="0.25">
      <c r="A292" s="9">
        <v>549</v>
      </c>
      <c r="B292" s="10" t="s">
        <v>820</v>
      </c>
      <c r="C292" s="3" t="s">
        <v>2</v>
      </c>
      <c r="D292" s="3"/>
      <c r="E292" s="10">
        <v>70</v>
      </c>
      <c r="F292" s="10">
        <v>60</v>
      </c>
      <c r="G292" s="10">
        <v>75</v>
      </c>
      <c r="H292" s="10">
        <v>110</v>
      </c>
      <c r="I292" s="10">
        <v>75</v>
      </c>
      <c r="J292" s="10">
        <v>90</v>
      </c>
      <c r="K292" s="9" t="s">
        <v>821</v>
      </c>
      <c r="L292" s="9" t="s">
        <v>298</v>
      </c>
      <c r="M292" s="9" t="s">
        <v>300</v>
      </c>
      <c r="N292" s="9">
        <f t="shared" si="178"/>
        <v>9.6999999999999993</v>
      </c>
      <c r="O292" s="9">
        <f t="shared" si="179"/>
        <v>7.3</v>
      </c>
      <c r="P292" s="9">
        <v>0</v>
      </c>
      <c r="Q292" s="9">
        <v>0</v>
      </c>
      <c r="R292" s="12">
        <f t="shared" si="180"/>
        <v>10</v>
      </c>
      <c r="S292" s="12">
        <f t="shared" si="181"/>
        <v>7</v>
      </c>
      <c r="T292" s="12">
        <f t="shared" si="182"/>
        <v>17</v>
      </c>
      <c r="U292" s="9" t="str">
        <f t="shared" si="189"/>
        <v>grass</v>
      </c>
      <c r="V292" s="9" t="s">
        <v>8</v>
      </c>
      <c r="W292" s="9" t="s">
        <v>7</v>
      </c>
      <c r="X292" s="9" t="s">
        <v>22</v>
      </c>
      <c r="Y292" s="9"/>
      <c r="Z292" s="12" t="str">
        <f t="shared" si="177"/>
        <v/>
      </c>
      <c r="AA292" s="8" t="str">
        <f t="shared" si="167"/>
        <v>Lilligant</v>
      </c>
      <c r="AB292" s="10"/>
      <c r="AC292" s="8" t="s">
        <v>613</v>
      </c>
      <c r="AD292" s="8" t="str">
        <f>VLOOKUP(AC292,moves!A:B,2,FALSE)</f>
        <v>grass</v>
      </c>
      <c r="AE292" s="8">
        <f>VLOOKUP(AC292,moves!A:D,4,FALSE)</f>
        <v>5</v>
      </c>
      <c r="AF292" s="8" t="str">
        <f>VLOOKUP(AC292,moves!A:E,5,FALSE)</f>
        <v xml:space="preserve">During this attack and when the user is next attacked, status symbols deal +1 damage. </v>
      </c>
      <c r="AG292" s="11">
        <v>0</v>
      </c>
      <c r="AH292" s="11">
        <v>0</v>
      </c>
      <c r="AI292" s="8" t="str" cm="1">
        <f t="array" ref="AI292">_xlfn.IFS(AG292=1, "starter", AH292=1, "legendary",T292&lt; 13, "weak",T292&lt; 17, "moderate", TRUE, "strong")</f>
        <v>strong</v>
      </c>
      <c r="AK292" s="8">
        <v>2</v>
      </c>
      <c r="AL292" s="8">
        <v>0</v>
      </c>
      <c r="AM292" s="8">
        <v>0</v>
      </c>
    </row>
    <row r="293" spans="1:39" s="8" customFormat="1" x14ac:dyDescent="0.25">
      <c r="A293" s="9">
        <v>211</v>
      </c>
      <c r="B293" s="10" t="s">
        <v>860</v>
      </c>
      <c r="C293" s="3" t="s">
        <v>6</v>
      </c>
      <c r="D293" s="3" t="s">
        <v>3</v>
      </c>
      <c r="E293" s="10">
        <v>65</v>
      </c>
      <c r="F293" s="10">
        <v>95</v>
      </c>
      <c r="G293" s="10">
        <v>85</v>
      </c>
      <c r="H293" s="10">
        <v>55</v>
      </c>
      <c r="I293" s="10">
        <v>55</v>
      </c>
      <c r="J293" s="10">
        <v>85</v>
      </c>
      <c r="K293" s="9" t="s">
        <v>351</v>
      </c>
      <c r="L293" s="9" t="s">
        <v>303</v>
      </c>
      <c r="M293" s="9" t="s">
        <v>300</v>
      </c>
      <c r="N293" s="9">
        <f t="shared" si="178"/>
        <v>8.6999999999999993</v>
      </c>
      <c r="O293" s="9">
        <f t="shared" si="179"/>
        <v>6.8</v>
      </c>
      <c r="P293" s="9">
        <v>0</v>
      </c>
      <c r="Q293" s="9">
        <v>0</v>
      </c>
      <c r="R293" s="12">
        <f t="shared" si="180"/>
        <v>9</v>
      </c>
      <c r="S293" s="12">
        <f t="shared" si="181"/>
        <v>7</v>
      </c>
      <c r="T293" s="12">
        <f t="shared" si="182"/>
        <v>16</v>
      </c>
      <c r="U293" s="9" t="str">
        <f t="shared" si="189"/>
        <v>water</v>
      </c>
      <c r="V293" s="9" t="str">
        <f t="shared" ref="V293:V300" si="190">IF(D293 = 0, "", D293)</f>
        <v>poison</v>
      </c>
      <c r="W293" s="9" t="s">
        <v>7</v>
      </c>
      <c r="X293" s="9" t="s">
        <v>9</v>
      </c>
      <c r="Y293" s="9"/>
      <c r="Z293" s="12" t="str">
        <f t="shared" si="177"/>
        <v/>
      </c>
      <c r="AA293" s="8" t="str">
        <f t="shared" si="167"/>
        <v>Qwilfish</v>
      </c>
      <c r="AB293" s="10"/>
      <c r="AC293" s="8" t="s">
        <v>811</v>
      </c>
      <c r="AD293" s="8" t="str">
        <f>VLOOKUP(AC293,moves!A:B,2,FALSE)</f>
        <v>poison</v>
      </c>
      <c r="AE293" s="8">
        <f>VLOOKUP(AC293,moves!A:D,4,FALSE)</f>
        <v>3</v>
      </c>
      <c r="AF293" s="8" t="str">
        <f>VLOOKUP(AC293,moves!A:E,5,FALSE)</f>
        <v>Inflict the Poisoned status on the target. If the target is already Poisoned, attack strength is increased to 5.</v>
      </c>
      <c r="AG293" s="11">
        <v>0</v>
      </c>
      <c r="AH293" s="11">
        <v>0</v>
      </c>
      <c r="AI293" s="8" t="str" cm="1">
        <f t="array" ref="AI293">_xlfn.IFS(AG293=1, "starter", AH293=1, "legendary",T293&lt; 13, "weak",T293&lt; 17, "moderate", TRUE, "strong")</f>
        <v>moderate</v>
      </c>
      <c r="AK293" s="8">
        <v>1</v>
      </c>
      <c r="AL293" s="8">
        <v>0</v>
      </c>
      <c r="AM293" s="8">
        <v>0</v>
      </c>
    </row>
    <row r="294" spans="1:39" s="8" customFormat="1" x14ac:dyDescent="0.25">
      <c r="A294" s="9">
        <v>607</v>
      </c>
      <c r="B294" s="10" t="s">
        <v>752</v>
      </c>
      <c r="C294" s="3" t="s">
        <v>42</v>
      </c>
      <c r="D294" s="3" t="s">
        <v>4</v>
      </c>
      <c r="E294" s="9">
        <v>50</v>
      </c>
      <c r="F294" s="9">
        <v>30</v>
      </c>
      <c r="G294" s="9">
        <v>55</v>
      </c>
      <c r="H294" s="9">
        <v>65</v>
      </c>
      <c r="I294" s="9">
        <v>55</v>
      </c>
      <c r="J294" s="9">
        <v>20</v>
      </c>
      <c r="K294" s="9" t="s">
        <v>755</v>
      </c>
      <c r="L294" s="9" t="s">
        <v>298</v>
      </c>
      <c r="M294" s="9" t="s">
        <v>299</v>
      </c>
      <c r="N294" s="9">
        <f t="shared" si="160"/>
        <v>4.3499999999999996</v>
      </c>
      <c r="O294" s="9">
        <f t="shared" si="161"/>
        <v>5.3</v>
      </c>
      <c r="P294" s="9">
        <v>1</v>
      </c>
      <c r="Q294" s="9">
        <v>0</v>
      </c>
      <c r="R294" s="12">
        <f t="shared" si="162"/>
        <v>5</v>
      </c>
      <c r="S294" s="12">
        <f t="shared" si="163"/>
        <v>5</v>
      </c>
      <c r="T294" s="12">
        <f t="shared" si="164"/>
        <v>10</v>
      </c>
      <c r="U294" s="9" t="str">
        <f t="shared" si="168"/>
        <v>ghost</v>
      </c>
      <c r="V294" s="9" t="str">
        <f t="shared" si="190"/>
        <v>fire</v>
      </c>
      <c r="W294" s="9" t="s">
        <v>26</v>
      </c>
      <c r="X294" s="9" t="s">
        <v>2</v>
      </c>
      <c r="Y294" s="9" t="str">
        <f>B295</f>
        <v>Lampent</v>
      </c>
      <c r="Z294" s="12">
        <f t="shared" ref="Z294:Z373" si="191">IF(ISBLANK(Y294), "", ROUND(( (T295-6)*(T295-7) - (T294-6)*(T294-7) )/15, 0) + 1)</f>
        <v>4</v>
      </c>
      <c r="AA294" s="8" t="str">
        <f t="shared" si="167"/>
        <v>Litwick</v>
      </c>
      <c r="AB294" s="10"/>
      <c r="AC294" s="8" t="s">
        <v>773</v>
      </c>
      <c r="AD294" s="8" t="str">
        <f>VLOOKUP(AC294,moves!A:B,2,FALSE)</f>
        <v>fire</v>
      </c>
      <c r="AE294" s="8">
        <f>VLOOKUP(AC294,moves!A:D,4,FALSE)</f>
        <v>1</v>
      </c>
      <c r="AF294" s="8" t="str">
        <f>VLOOKUP(AC294,moves!A:E,5,FALSE)</f>
        <v>Inflict the Burned status on the target. If the target is already Burned, attack strength is increased to 3.</v>
      </c>
      <c r="AG294" s="11">
        <v>1</v>
      </c>
      <c r="AH294" s="11">
        <v>0</v>
      </c>
      <c r="AI294" s="8" t="str" cm="1">
        <f t="array" ref="AI294">_xlfn.IFS(AG294=1, "starter", AH294=1, "legendary",T294&lt; 13, "weak",T294&lt; 17, "moderate", TRUE, "strong")</f>
        <v>starter</v>
      </c>
      <c r="AK294" s="8">
        <v>1</v>
      </c>
      <c r="AL294" s="8">
        <v>0</v>
      </c>
      <c r="AM294" s="8">
        <v>0</v>
      </c>
    </row>
    <row r="295" spans="1:39" s="8" customFormat="1" x14ac:dyDescent="0.25">
      <c r="A295" s="9">
        <v>608</v>
      </c>
      <c r="B295" s="10" t="s">
        <v>753</v>
      </c>
      <c r="C295" s="3" t="s">
        <v>42</v>
      </c>
      <c r="D295" s="3" t="s">
        <v>4</v>
      </c>
      <c r="E295" s="9">
        <v>60</v>
      </c>
      <c r="F295" s="9">
        <v>40</v>
      </c>
      <c r="G295" s="9">
        <v>60</v>
      </c>
      <c r="H295" s="9">
        <v>95</v>
      </c>
      <c r="I295" s="9">
        <v>60</v>
      </c>
      <c r="J295" s="9">
        <v>55</v>
      </c>
      <c r="K295" s="9" t="s">
        <v>756</v>
      </c>
      <c r="L295" s="9" t="s">
        <v>298</v>
      </c>
      <c r="M295" s="9" t="s">
        <v>299</v>
      </c>
      <c r="N295" s="9">
        <f t="shared" ref="N295:N373" si="192">(0.4*J295 + 0.5*MAX(F295,H295) + 0.1*MIN(F295,H295)) / 10</f>
        <v>7.35</v>
      </c>
      <c r="O295" s="9">
        <f t="shared" ref="O295:O373" si="193">(0.4*E295 + 0.3*G295 + 0.3*I295) / 10</f>
        <v>6</v>
      </c>
      <c r="P295" s="9">
        <v>1</v>
      </c>
      <c r="Q295" s="9">
        <v>0</v>
      </c>
      <c r="R295" s="12">
        <f t="shared" ref="R295:R373" si="194">ROUND(N295,0)+P295</f>
        <v>8</v>
      </c>
      <c r="S295" s="12">
        <f t="shared" ref="S295:S373" si="195">ROUND(O295,0)+Q295</f>
        <v>6</v>
      </c>
      <c r="T295" s="12">
        <f t="shared" si="164"/>
        <v>14</v>
      </c>
      <c r="U295" s="9" t="str">
        <f t="shared" si="168"/>
        <v>ghost</v>
      </c>
      <c r="V295" s="9" t="str">
        <f t="shared" si="190"/>
        <v>fire</v>
      </c>
      <c r="W295" s="9" t="s">
        <v>26</v>
      </c>
      <c r="X295" s="9" t="s">
        <v>2</v>
      </c>
      <c r="Y295" s="9" t="str">
        <f>B296</f>
        <v>Chandelure</v>
      </c>
      <c r="Z295" s="12">
        <f t="shared" si="191"/>
        <v>8</v>
      </c>
      <c r="AA295" s="8" t="str">
        <f t="shared" si="167"/>
        <v>Lampent</v>
      </c>
      <c r="AB295" s="10"/>
      <c r="AC295" s="8" t="s">
        <v>504</v>
      </c>
      <c r="AD295" s="8" t="str">
        <f>VLOOKUP(AC295,moves!A:B,2,FALSE)</f>
        <v>ghost</v>
      </c>
      <c r="AE295" s="8">
        <f>VLOOKUP(AC295,moves!A:D,4,FALSE)</f>
        <v>3</v>
      </c>
      <c r="AF295" s="8" t="str">
        <f>VLOOKUP(AC295,moves!A:E,5,FALSE)</f>
        <v>If the target has a status effect, this move deals double damage.</v>
      </c>
      <c r="AG295" s="11">
        <v>0</v>
      </c>
      <c r="AH295" s="11">
        <v>0</v>
      </c>
      <c r="AI295" s="8" t="str" cm="1">
        <f t="array" ref="AI295">_xlfn.IFS(AG295=1, "starter", AH295=1, "legendary",T295&lt; 13, "weak",T295&lt; 17, "moderate", TRUE, "strong")</f>
        <v>moderate</v>
      </c>
      <c r="AK295" s="8">
        <v>2</v>
      </c>
      <c r="AL295" s="8">
        <v>0</v>
      </c>
      <c r="AM295" s="8">
        <v>0</v>
      </c>
    </row>
    <row r="296" spans="1:39" s="8" customFormat="1" x14ac:dyDescent="0.25">
      <c r="A296" s="9">
        <v>609</v>
      </c>
      <c r="B296" s="10" t="s">
        <v>754</v>
      </c>
      <c r="C296" s="3" t="s">
        <v>42</v>
      </c>
      <c r="D296" s="3" t="s">
        <v>4</v>
      </c>
      <c r="E296" s="9">
        <v>60</v>
      </c>
      <c r="F296" s="9">
        <v>55</v>
      </c>
      <c r="G296" s="9">
        <v>90</v>
      </c>
      <c r="H296" s="9">
        <v>145</v>
      </c>
      <c r="I296" s="9">
        <v>90</v>
      </c>
      <c r="J296" s="9">
        <v>80</v>
      </c>
      <c r="K296" s="9" t="s">
        <v>757</v>
      </c>
      <c r="L296" s="9" t="s">
        <v>298</v>
      </c>
      <c r="M296" s="9" t="s">
        <v>299</v>
      </c>
      <c r="N296" s="9">
        <f t="shared" si="192"/>
        <v>11</v>
      </c>
      <c r="O296" s="9">
        <f t="shared" si="193"/>
        <v>7.8</v>
      </c>
      <c r="P296" s="9">
        <v>0</v>
      </c>
      <c r="Q296" s="9">
        <v>0</v>
      </c>
      <c r="R296" s="12">
        <f t="shared" si="194"/>
        <v>11</v>
      </c>
      <c r="S296" s="12">
        <f t="shared" si="195"/>
        <v>8</v>
      </c>
      <c r="T296" s="12">
        <f t="shared" si="164"/>
        <v>19</v>
      </c>
      <c r="U296" s="9" t="str">
        <f t="shared" si="168"/>
        <v>ghost</v>
      </c>
      <c r="V296" s="9" t="str">
        <f t="shared" si="190"/>
        <v>fire</v>
      </c>
      <c r="W296" s="9" t="s">
        <v>26</v>
      </c>
      <c r="X296" s="9" t="s">
        <v>2</v>
      </c>
      <c r="Y296" s="9"/>
      <c r="Z296" s="12" t="str">
        <f>IF(ISBLANK(Y296), "", ROUND(( (T298-6)*(T298-7) - (T296-6)*(T296-7) )/15, 0) + 1)</f>
        <v/>
      </c>
      <c r="AA296" s="8" t="str">
        <f t="shared" si="167"/>
        <v>Chandelure</v>
      </c>
      <c r="AB296" s="10"/>
      <c r="AC296" s="8" t="s">
        <v>774</v>
      </c>
      <c r="AD296" s="8" t="str">
        <f>VLOOKUP(AC296,moves!A:B,2,FALSE)</f>
        <v>fire</v>
      </c>
      <c r="AE296" s="8">
        <f>VLOOKUP(AC296,moves!A:D,4,FALSE)</f>
        <v>5</v>
      </c>
      <c r="AF296" s="8" t="str">
        <f>VLOOKUP(AC296,moves!A:E,5,FALSE)</f>
        <v>Inflict the Burned status on the target. Status symbols deal -2 damage.</v>
      </c>
      <c r="AG296" s="11">
        <v>0</v>
      </c>
      <c r="AH296" s="11">
        <v>0</v>
      </c>
      <c r="AI296" s="8" t="str" cm="1">
        <f t="array" ref="AI296">_xlfn.IFS(AG296=1, "starter", AH296=1, "legendary",T296&lt; 13, "weak",T296&lt; 17, "moderate", TRUE, "strong")</f>
        <v>strong</v>
      </c>
      <c r="AK296" s="8">
        <v>3</v>
      </c>
      <c r="AL296" s="8">
        <v>0</v>
      </c>
      <c r="AM296" s="8">
        <v>1</v>
      </c>
    </row>
    <row r="297" spans="1:39" s="8" customFormat="1" x14ac:dyDescent="0.25">
      <c r="A297" s="9" t="s">
        <v>1344</v>
      </c>
      <c r="B297" s="10" t="s">
        <v>754</v>
      </c>
      <c r="C297" s="3" t="s">
        <v>42</v>
      </c>
      <c r="D297" s="3" t="s">
        <v>4</v>
      </c>
      <c r="E297" s="9">
        <v>60</v>
      </c>
      <c r="F297" s="9">
        <v>55</v>
      </c>
      <c r="G297" s="9">
        <v>90</v>
      </c>
      <c r="H297" s="9">
        <v>145</v>
      </c>
      <c r="I297" s="9">
        <v>90</v>
      </c>
      <c r="J297" s="9">
        <v>80</v>
      </c>
      <c r="K297" s="9" t="s">
        <v>757</v>
      </c>
      <c r="L297" s="9" t="s">
        <v>298</v>
      </c>
      <c r="M297" s="9" t="s">
        <v>299</v>
      </c>
      <c r="N297" s="9">
        <f t="shared" ref="N297" si="196">(0.4*J297 + 0.5*MAX(F297,H297) + 0.1*MIN(F297,H297)) / 10</f>
        <v>11</v>
      </c>
      <c r="O297" s="9">
        <f t="shared" ref="O297" si="197">(0.4*E297 + 0.3*G297 + 0.3*I297) / 10</f>
        <v>7.8</v>
      </c>
      <c r="P297" s="9">
        <v>1</v>
      </c>
      <c r="Q297" s="9">
        <v>2</v>
      </c>
      <c r="R297" s="12">
        <f t="shared" ref="R297" si="198">ROUND(N297,0)+P297</f>
        <v>12</v>
      </c>
      <c r="S297" s="12">
        <f t="shared" ref="S297" si="199">ROUND(O297,0)+Q297</f>
        <v>10</v>
      </c>
      <c r="T297" s="12">
        <f t="shared" ref="T297" si="200">SUM(ROUND(R297,0),ROUND(S297,0))</f>
        <v>22</v>
      </c>
      <c r="U297" s="9" t="str">
        <f t="shared" ref="U297" si="201">C297</f>
        <v>ghost</v>
      </c>
      <c r="V297" s="9" t="str">
        <f t="shared" ref="V297" si="202">IF(D297 = 0, "", D297)</f>
        <v>fire</v>
      </c>
      <c r="W297" s="9" t="s">
        <v>26</v>
      </c>
      <c r="X297" s="9" t="s">
        <v>2</v>
      </c>
      <c r="Y297" s="9"/>
      <c r="Z297" s="12" t="str">
        <f>IF(ISBLANK(Y297), "", ROUND(( (T299-6)*(T299-7) - (T297-6)*(T297-7) )/15, 0) + 1)</f>
        <v/>
      </c>
      <c r="AA297" s="8" t="str">
        <f t="shared" ref="AA297" si="203">B297</f>
        <v>Chandelure</v>
      </c>
      <c r="AB297" s="10" t="s">
        <v>1338</v>
      </c>
      <c r="AC297" s="8" t="s">
        <v>774</v>
      </c>
      <c r="AD297" s="8" t="str">
        <f>VLOOKUP(AC297,moves!A:B,2,FALSE)</f>
        <v>fire</v>
      </c>
      <c r="AE297" s="8">
        <f>VLOOKUP(AC297,moves!A:D,4,FALSE)</f>
        <v>5</v>
      </c>
      <c r="AF297" s="8" t="str">
        <f>VLOOKUP(AC297,moves!A:E,5,FALSE)</f>
        <v>Inflict the Burned status on the target. Status symbols deal -2 damage.</v>
      </c>
      <c r="AG297" s="11">
        <v>0</v>
      </c>
      <c r="AH297" s="11">
        <v>1</v>
      </c>
      <c r="AI297" s="8" t="str" cm="1">
        <f t="array" ref="AI297">_xlfn.IFS(AG297=1, "starter", AH297=1, "legendary",T297&lt; 13, "weak",T297&lt; 17, "moderate", TRUE, "strong")</f>
        <v>legendary</v>
      </c>
      <c r="AK297" s="8">
        <v>3</v>
      </c>
      <c r="AL297" s="8">
        <v>0</v>
      </c>
      <c r="AM297" s="8">
        <v>2</v>
      </c>
    </row>
    <row r="298" spans="1:39" s="8" customFormat="1" x14ac:dyDescent="0.25">
      <c r="A298" s="9">
        <v>722</v>
      </c>
      <c r="B298" s="10" t="s">
        <v>778</v>
      </c>
      <c r="C298" s="3" t="s">
        <v>2</v>
      </c>
      <c r="D298" s="3" t="s">
        <v>5</v>
      </c>
      <c r="E298" s="9">
        <v>68</v>
      </c>
      <c r="F298" s="9">
        <v>55</v>
      </c>
      <c r="G298" s="9">
        <v>55</v>
      </c>
      <c r="H298" s="9">
        <v>50</v>
      </c>
      <c r="I298" s="9">
        <v>50</v>
      </c>
      <c r="J298" s="9">
        <v>42</v>
      </c>
      <c r="K298" s="9" t="s">
        <v>779</v>
      </c>
      <c r="L298" s="9" t="s">
        <v>298</v>
      </c>
      <c r="M298" s="9" t="s">
        <v>300</v>
      </c>
      <c r="N298" s="9">
        <f t="shared" si="192"/>
        <v>4.93</v>
      </c>
      <c r="O298" s="9">
        <f t="shared" si="193"/>
        <v>5.87</v>
      </c>
      <c r="P298" s="9">
        <v>0</v>
      </c>
      <c r="Q298" s="9">
        <v>-1</v>
      </c>
      <c r="R298" s="12">
        <f t="shared" si="194"/>
        <v>5</v>
      </c>
      <c r="S298" s="12">
        <f t="shared" si="195"/>
        <v>5</v>
      </c>
      <c r="T298" s="12">
        <f t="shared" si="164"/>
        <v>10</v>
      </c>
      <c r="U298" s="9" t="str">
        <f t="shared" si="168"/>
        <v>grass</v>
      </c>
      <c r="V298" s="9" t="str">
        <f t="shared" si="190"/>
        <v>flying</v>
      </c>
      <c r="W298" s="9" t="s">
        <v>42</v>
      </c>
      <c r="X298" s="9" t="s">
        <v>8</v>
      </c>
      <c r="Y298" s="9" t="str">
        <f>B299</f>
        <v>Dartrix</v>
      </c>
      <c r="Z298" s="12">
        <f t="shared" si="191"/>
        <v>4</v>
      </c>
      <c r="AA298" s="8" t="str">
        <f t="shared" si="167"/>
        <v>Rowlet</v>
      </c>
      <c r="AB298" s="10"/>
      <c r="AC298" s="8" t="s">
        <v>780</v>
      </c>
      <c r="AD298" s="8" t="str">
        <f>VLOOKUP(AC298,moves!A:B,2,FALSE)</f>
        <v>flying</v>
      </c>
      <c r="AE298" s="8">
        <f>VLOOKUP(AC298,moves!A:D,4,FALSE)</f>
        <v>2</v>
      </c>
      <c r="AF298" s="8" t="str">
        <f>VLOOKUP(AC298,moves!A:E,5,FALSE)</f>
        <v>When the target is next attacked, add a critical hit to the roll.</v>
      </c>
      <c r="AG298" s="11">
        <v>1</v>
      </c>
      <c r="AH298" s="11">
        <v>0</v>
      </c>
      <c r="AI298" s="8" t="str" cm="1">
        <f t="array" ref="AI298">_xlfn.IFS(AG298=1, "starter", AH298=1, "legendary",T298&lt; 13, "weak",T298&lt; 17, "moderate", TRUE, "strong")</f>
        <v>starter</v>
      </c>
      <c r="AK298" s="8">
        <v>1</v>
      </c>
      <c r="AL298" s="8">
        <v>0</v>
      </c>
      <c r="AM298" s="8">
        <v>0</v>
      </c>
    </row>
    <row r="299" spans="1:39" s="8" customFormat="1" x14ac:dyDescent="0.25">
      <c r="A299" s="9">
        <v>723</v>
      </c>
      <c r="B299" s="10" t="s">
        <v>861</v>
      </c>
      <c r="C299" s="3" t="s">
        <v>2</v>
      </c>
      <c r="D299" s="3" t="s">
        <v>5</v>
      </c>
      <c r="E299" s="9">
        <v>78</v>
      </c>
      <c r="F299" s="9">
        <v>75</v>
      </c>
      <c r="G299" s="9">
        <v>75</v>
      </c>
      <c r="H299" s="9">
        <v>70</v>
      </c>
      <c r="I299" s="9">
        <v>70</v>
      </c>
      <c r="J299" s="9">
        <v>52</v>
      </c>
      <c r="K299" s="9" t="s">
        <v>784</v>
      </c>
      <c r="L299" s="9" t="s">
        <v>298</v>
      </c>
      <c r="M299" s="9" t="s">
        <v>300</v>
      </c>
      <c r="N299" s="9">
        <f>(0.4*J299 + 0.5*MAX(F299,H299) + 0.1*MIN(F299,H299)) / 10</f>
        <v>6.5299999999999994</v>
      </c>
      <c r="O299" s="9">
        <f>(0.4*E299 + 0.3*G299 + 0.3*I299) / 10</f>
        <v>7.4700000000000006</v>
      </c>
      <c r="P299" s="9">
        <v>0</v>
      </c>
      <c r="Q299" s="9">
        <v>0</v>
      </c>
      <c r="R299" s="12">
        <f t="shared" si="194"/>
        <v>7</v>
      </c>
      <c r="S299" s="12">
        <f t="shared" si="195"/>
        <v>7</v>
      </c>
      <c r="T299" s="12">
        <f>SUM(ROUND(R299,0),ROUND(S299,0))</f>
        <v>14</v>
      </c>
      <c r="U299" s="9" t="str">
        <f t="shared" si="168"/>
        <v>grass</v>
      </c>
      <c r="V299" s="9" t="str">
        <f t="shared" si="190"/>
        <v>flying</v>
      </c>
      <c r="W299" s="9" t="s">
        <v>42</v>
      </c>
      <c r="X299" s="9" t="s">
        <v>8</v>
      </c>
      <c r="Y299" s="9" t="str">
        <f>B300</f>
        <v>Decidueye</v>
      </c>
      <c r="Z299" s="12">
        <f t="shared" si="191"/>
        <v>6</v>
      </c>
      <c r="AA299" s="8" t="str">
        <f t="shared" si="167"/>
        <v>Dartrix</v>
      </c>
      <c r="AB299" s="10"/>
      <c r="AC299" s="8" t="s">
        <v>781</v>
      </c>
      <c r="AD299" s="8" t="str">
        <f>VLOOKUP(AC299,moves!A:B,2,FALSE)</f>
        <v>grass</v>
      </c>
      <c r="AE299" s="8">
        <f>VLOOKUP(AC299,moves!A:D,4,FALSE)</f>
        <v>4</v>
      </c>
      <c r="AF299" s="8" t="str">
        <f>VLOOKUP(AC299,moves!A:E,5,FALSE)</f>
        <v>Critical hits deal +1 damage.</v>
      </c>
      <c r="AG299" s="11">
        <v>0</v>
      </c>
      <c r="AH299" s="11">
        <v>0</v>
      </c>
      <c r="AI299" s="8" t="str" cm="1">
        <f t="array" ref="AI299">_xlfn.IFS(AG299=1, "starter", AH299=1, "legendary",T299&lt; 13, "weak",T299&lt; 17, "moderate", TRUE, "strong")</f>
        <v>moderate</v>
      </c>
      <c r="AK299" s="8">
        <v>2</v>
      </c>
      <c r="AL299" s="8">
        <v>0</v>
      </c>
      <c r="AM299" s="8">
        <v>0</v>
      </c>
    </row>
    <row r="300" spans="1:39" s="8" customFormat="1" x14ac:dyDescent="0.25">
      <c r="A300" s="9">
        <v>724</v>
      </c>
      <c r="B300" s="10" t="s">
        <v>783</v>
      </c>
      <c r="C300" s="3" t="s">
        <v>2</v>
      </c>
      <c r="D300" s="3" t="s">
        <v>42</v>
      </c>
      <c r="E300" s="9">
        <v>78</v>
      </c>
      <c r="F300" s="9">
        <v>107</v>
      </c>
      <c r="G300" s="9">
        <v>75</v>
      </c>
      <c r="H300" s="9">
        <v>100</v>
      </c>
      <c r="I300" s="9">
        <v>100</v>
      </c>
      <c r="J300" s="9">
        <v>70</v>
      </c>
      <c r="K300" s="9" t="s">
        <v>785</v>
      </c>
      <c r="L300" s="9" t="s">
        <v>298</v>
      </c>
      <c r="M300" s="9" t="s">
        <v>300</v>
      </c>
      <c r="N300" s="9">
        <f>(0.4*J300 + 0.5*MAX(F300,H300) + 0.1*MIN(F300,H300)) / 10</f>
        <v>9.15</v>
      </c>
      <c r="O300" s="9">
        <f>(0.4*E300 + 0.3*G300 + 0.3*I300) / 10</f>
        <v>8.370000000000001</v>
      </c>
      <c r="P300" s="9">
        <v>0</v>
      </c>
      <c r="Q300" s="9">
        <v>1</v>
      </c>
      <c r="R300" s="12">
        <f t="shared" si="194"/>
        <v>9</v>
      </c>
      <c r="S300" s="12">
        <f t="shared" si="195"/>
        <v>9</v>
      </c>
      <c r="T300" s="12">
        <f>SUM(ROUND(R300,0),ROUND(S300,0))</f>
        <v>18</v>
      </c>
      <c r="U300" s="9" t="str">
        <f t="shared" si="168"/>
        <v>grass</v>
      </c>
      <c r="V300" s="9" t="str">
        <f t="shared" si="190"/>
        <v>ghost</v>
      </c>
      <c r="W300" s="9" t="s">
        <v>5</v>
      </c>
      <c r="X300" s="9" t="s">
        <v>22</v>
      </c>
      <c r="Y300" s="9"/>
      <c r="Z300" s="12" t="str">
        <f>IF(ISBLANK(Y300), "", ROUND(( (T302-6)*(T302-7) - (T300-6)*(T300-7) )/15, 0) + 1)</f>
        <v/>
      </c>
      <c r="AA300" s="8" t="str">
        <f t="shared" si="167"/>
        <v>Decidueye</v>
      </c>
      <c r="AB300" s="10"/>
      <c r="AC300" s="8" t="s">
        <v>786</v>
      </c>
      <c r="AD300" s="8" t="str">
        <f>VLOOKUP(AC300,moves!A:B,2,FALSE)</f>
        <v>ghost</v>
      </c>
      <c r="AE300" s="8">
        <f>VLOOKUP(AC300,moves!A:D,4,FALSE)</f>
        <v>4</v>
      </c>
      <c r="AF300" s="8" t="str">
        <f>VLOOKUP(AC300,moves!A:E,5,FALSE)</f>
        <v>Deals 2 extra damage to Ghost-type Pokémon. The target may no longer switch out or flee the battle.</v>
      </c>
      <c r="AG300" s="11">
        <v>0</v>
      </c>
      <c r="AH300" s="11">
        <v>0</v>
      </c>
      <c r="AI300" s="8" t="str" cm="1">
        <f t="array" ref="AI300">_xlfn.IFS(AG300=1, "starter", AH300=1, "legendary",T300&lt; 13, "weak",T300&lt; 17, "moderate", TRUE, "strong")</f>
        <v>strong</v>
      </c>
      <c r="AK300" s="8">
        <v>3</v>
      </c>
      <c r="AL300" s="8">
        <v>0</v>
      </c>
      <c r="AM300" s="8">
        <v>1</v>
      </c>
    </row>
    <row r="301" spans="1:39" s="8" customFormat="1" x14ac:dyDescent="0.25">
      <c r="A301" s="9" t="s">
        <v>1345</v>
      </c>
      <c r="B301" s="10" t="s">
        <v>783</v>
      </c>
      <c r="C301" s="3" t="s">
        <v>2</v>
      </c>
      <c r="D301" s="3" t="s">
        <v>42</v>
      </c>
      <c r="E301" s="9">
        <v>78</v>
      </c>
      <c r="F301" s="9">
        <v>107</v>
      </c>
      <c r="G301" s="9">
        <v>75</v>
      </c>
      <c r="H301" s="9">
        <v>100</v>
      </c>
      <c r="I301" s="9">
        <v>100</v>
      </c>
      <c r="J301" s="9">
        <v>70</v>
      </c>
      <c r="K301" s="9" t="s">
        <v>785</v>
      </c>
      <c r="L301" s="9" t="s">
        <v>298</v>
      </c>
      <c r="M301" s="9" t="s">
        <v>300</v>
      </c>
      <c r="N301" s="9">
        <f>(0.4*J301 + 0.5*MAX(F301,H301) + 0.1*MIN(F301,H301)) / 10</f>
        <v>9.15</v>
      </c>
      <c r="O301" s="9">
        <f>(0.4*E301 + 0.3*G301 + 0.3*I301) / 10</f>
        <v>8.370000000000001</v>
      </c>
      <c r="P301" s="9">
        <v>1</v>
      </c>
      <c r="Q301" s="9">
        <v>3</v>
      </c>
      <c r="R301" s="12">
        <f t="shared" ref="R301" si="204">ROUND(N301,0)+P301</f>
        <v>10</v>
      </c>
      <c r="S301" s="12">
        <f t="shared" ref="S301" si="205">ROUND(O301,0)+Q301</f>
        <v>11</v>
      </c>
      <c r="T301" s="12">
        <f>SUM(ROUND(R301,0),ROUND(S301,0))</f>
        <v>21</v>
      </c>
      <c r="U301" s="9" t="str">
        <f t="shared" ref="U301" si="206">C301</f>
        <v>grass</v>
      </c>
      <c r="V301" s="9" t="str">
        <f t="shared" ref="V301" si="207">IF(D301 = 0, "", D301)</f>
        <v>ghost</v>
      </c>
      <c r="W301" s="9" t="s">
        <v>5</v>
      </c>
      <c r="X301" s="9" t="s">
        <v>22</v>
      </c>
      <c r="Y301" s="9"/>
      <c r="Z301" s="12" t="str">
        <f>IF(ISBLANK(Y301), "", ROUND(( (T303-6)*(T303-7) - (T301-6)*(T301-7) )/15, 0) + 1)</f>
        <v/>
      </c>
      <c r="AA301" s="8" t="str">
        <f t="shared" ref="AA301" si="208">B301</f>
        <v>Decidueye</v>
      </c>
      <c r="AB301" s="10" t="s">
        <v>1338</v>
      </c>
      <c r="AC301" s="8" t="s">
        <v>786</v>
      </c>
      <c r="AD301" s="8" t="str">
        <f>VLOOKUP(AC301,moves!A:B,2,FALSE)</f>
        <v>ghost</v>
      </c>
      <c r="AE301" s="8">
        <f>VLOOKUP(AC301,moves!A:D,4,FALSE)</f>
        <v>4</v>
      </c>
      <c r="AF301" s="8" t="str">
        <f>VLOOKUP(AC301,moves!A:E,5,FALSE)</f>
        <v>Deals 2 extra damage to Ghost-type Pokémon. The target may no longer switch out or flee the battle.</v>
      </c>
      <c r="AG301" s="11">
        <v>0</v>
      </c>
      <c r="AH301" s="11">
        <v>1</v>
      </c>
      <c r="AI301" s="8" t="str" cm="1">
        <f t="array" ref="AI301">_xlfn.IFS(AG301=1, "starter", AH301=1, "legendary",T301&lt; 13, "weak",T301&lt; 17, "moderate", TRUE, "strong")</f>
        <v>legendary</v>
      </c>
      <c r="AK301" s="8">
        <v>3</v>
      </c>
      <c r="AL301" s="8">
        <v>0</v>
      </c>
      <c r="AM301" s="8">
        <v>2</v>
      </c>
    </row>
    <row r="302" spans="1:39" s="8" customFormat="1" x14ac:dyDescent="0.25">
      <c r="A302" s="9">
        <v>155</v>
      </c>
      <c r="B302" s="10" t="s">
        <v>767</v>
      </c>
      <c r="C302" s="3" t="s">
        <v>4</v>
      </c>
      <c r="D302" s="3"/>
      <c r="E302" s="9">
        <v>39</v>
      </c>
      <c r="F302" s="9">
        <v>52</v>
      </c>
      <c r="G302" s="9">
        <v>43</v>
      </c>
      <c r="H302" s="9">
        <v>60</v>
      </c>
      <c r="I302" s="9">
        <v>50</v>
      </c>
      <c r="J302" s="9">
        <v>65</v>
      </c>
      <c r="K302" s="9" t="s">
        <v>768</v>
      </c>
      <c r="L302" s="9" t="s">
        <v>304</v>
      </c>
      <c r="M302" s="9" t="s">
        <v>302</v>
      </c>
      <c r="N302" s="9">
        <f t="shared" si="192"/>
        <v>6.12</v>
      </c>
      <c r="O302" s="9">
        <f t="shared" si="193"/>
        <v>4.3499999999999996</v>
      </c>
      <c r="P302" s="9">
        <v>0</v>
      </c>
      <c r="Q302" s="9">
        <v>0</v>
      </c>
      <c r="R302" s="12">
        <f t="shared" si="194"/>
        <v>6</v>
      </c>
      <c r="S302" s="12">
        <f t="shared" si="195"/>
        <v>4</v>
      </c>
      <c r="T302" s="12">
        <f t="shared" si="164"/>
        <v>10</v>
      </c>
      <c r="U302" s="9" t="str">
        <f t="shared" si="168"/>
        <v>fire</v>
      </c>
      <c r="V302" s="9" t="s">
        <v>13</v>
      </c>
      <c r="W302" s="9" t="s">
        <v>22</v>
      </c>
      <c r="X302" s="9" t="s">
        <v>8</v>
      </c>
      <c r="Y302" s="9" t="str">
        <f>B303</f>
        <v>Quilava</v>
      </c>
      <c r="Z302" s="12">
        <f t="shared" si="191"/>
        <v>4</v>
      </c>
      <c r="AA302" s="8" t="str">
        <f t="shared" si="167"/>
        <v>Cyndaquil</v>
      </c>
      <c r="AB302" s="10"/>
      <c r="AC302" s="8" t="s">
        <v>884</v>
      </c>
      <c r="AD302" s="8" t="str">
        <f>VLOOKUP(AC302,moves!A:B,2,FALSE)</f>
        <v>fire</v>
      </c>
      <c r="AE302" s="8">
        <f>VLOOKUP(AC302,moves!A:D,4,FALSE)</f>
        <v>3</v>
      </c>
      <c r="AF302" s="8" t="str">
        <f>VLOOKUP(AC302,moves!A:E,5,FALSE)</f>
        <v>When the user and target are next attacked, replace a regular hit with a status symbol.</v>
      </c>
      <c r="AG302" s="11">
        <v>1</v>
      </c>
      <c r="AH302" s="11">
        <v>0</v>
      </c>
      <c r="AI302" s="8" t="str" cm="1">
        <f t="array" ref="AI302">_xlfn.IFS(AG302=1, "starter", AH302=1, "legendary",T302&lt; 13, "weak",T302&lt; 17, "moderate", TRUE, "strong")</f>
        <v>starter</v>
      </c>
      <c r="AK302" s="8">
        <v>1</v>
      </c>
      <c r="AL302" s="8">
        <v>0</v>
      </c>
      <c r="AM302" s="8">
        <v>0</v>
      </c>
    </row>
    <row r="303" spans="1:39" s="8" customFormat="1" x14ac:dyDescent="0.25">
      <c r="A303" s="9">
        <v>156</v>
      </c>
      <c r="B303" s="10" t="s">
        <v>769</v>
      </c>
      <c r="C303" s="3" t="s">
        <v>4</v>
      </c>
      <c r="D303" s="3"/>
      <c r="E303" s="9">
        <v>58</v>
      </c>
      <c r="F303" s="9">
        <v>64</v>
      </c>
      <c r="G303" s="9">
        <v>58</v>
      </c>
      <c r="H303" s="9">
        <v>80</v>
      </c>
      <c r="I303" s="9">
        <v>65</v>
      </c>
      <c r="J303" s="9">
        <v>80</v>
      </c>
      <c r="K303" s="9" t="s">
        <v>770</v>
      </c>
      <c r="L303" s="9" t="s">
        <v>304</v>
      </c>
      <c r="M303" s="9" t="s">
        <v>302</v>
      </c>
      <c r="N303" s="9">
        <f t="shared" si="192"/>
        <v>7.8400000000000007</v>
      </c>
      <c r="O303" s="9">
        <f t="shared" si="193"/>
        <v>6.01</v>
      </c>
      <c r="P303" s="9">
        <v>0</v>
      </c>
      <c r="Q303" s="9">
        <v>0</v>
      </c>
      <c r="R303" s="12">
        <f t="shared" si="194"/>
        <v>8</v>
      </c>
      <c r="S303" s="12">
        <f t="shared" si="195"/>
        <v>6</v>
      </c>
      <c r="T303" s="12">
        <f t="shared" si="164"/>
        <v>14</v>
      </c>
      <c r="U303" s="9" t="str">
        <f t="shared" si="168"/>
        <v>fire</v>
      </c>
      <c r="V303" s="9" t="s">
        <v>13</v>
      </c>
      <c r="W303" s="9" t="s">
        <v>22</v>
      </c>
      <c r="X303" s="9" t="s">
        <v>8</v>
      </c>
      <c r="Y303" s="9" t="str">
        <f>B304</f>
        <v>Typhlosion</v>
      </c>
      <c r="Z303" s="12">
        <f t="shared" si="191"/>
        <v>6</v>
      </c>
      <c r="AA303" s="8" t="str">
        <f t="shared" si="167"/>
        <v>Quilava</v>
      </c>
      <c r="AB303" s="10"/>
      <c r="AC303" s="8" t="s">
        <v>771</v>
      </c>
      <c r="AD303" s="8" t="str">
        <f>VLOOKUP(AC303,moves!A:B,2,FALSE)</f>
        <v>fire</v>
      </c>
      <c r="AE303" s="8">
        <f>VLOOKUP(AC303,moves!A:D,4,FALSE)</f>
        <v>3</v>
      </c>
      <c r="AF303" s="8" t="str">
        <f>VLOOKUP(AC303,moves!A:E,5,FALSE)</f>
        <v>If a status symbol is rolled: Inflict the Burned status on the target. Status symbols deal +1 damage.</v>
      </c>
      <c r="AG303" s="11">
        <v>0</v>
      </c>
      <c r="AH303" s="11">
        <v>0</v>
      </c>
      <c r="AI303" s="8" t="str" cm="1">
        <f t="array" ref="AI303">_xlfn.IFS(AG303=1, "starter", AH303=1, "legendary",T303&lt; 13, "weak",T303&lt; 17, "moderate", TRUE, "strong")</f>
        <v>moderate</v>
      </c>
      <c r="AK303" s="8">
        <v>2</v>
      </c>
      <c r="AL303" s="8">
        <v>0</v>
      </c>
      <c r="AM303" s="8">
        <v>0</v>
      </c>
    </row>
    <row r="304" spans="1:39" s="8" customFormat="1" x14ac:dyDescent="0.25">
      <c r="A304" s="9">
        <v>157</v>
      </c>
      <c r="B304" s="10" t="s">
        <v>776</v>
      </c>
      <c r="C304" s="3" t="s">
        <v>4</v>
      </c>
      <c r="D304" s="3"/>
      <c r="E304" s="9">
        <v>78</v>
      </c>
      <c r="F304" s="9">
        <v>84</v>
      </c>
      <c r="G304" s="9">
        <v>78</v>
      </c>
      <c r="H304" s="9">
        <v>109</v>
      </c>
      <c r="I304" s="9">
        <v>85</v>
      </c>
      <c r="J304" s="9">
        <v>100</v>
      </c>
      <c r="K304" s="9" t="s">
        <v>770</v>
      </c>
      <c r="L304" s="9" t="s">
        <v>304</v>
      </c>
      <c r="M304" s="9" t="s">
        <v>302</v>
      </c>
      <c r="N304" s="9">
        <f t="shared" ref="N304:N328" si="209">(0.4*J304 + 0.5*MAX(F304,H304) + 0.1*MIN(F304,H304)) / 10</f>
        <v>10.290000000000001</v>
      </c>
      <c r="O304" s="9">
        <f t="shared" ref="O304:O328" si="210">(0.4*E304 + 0.3*G304 + 0.3*I304) / 10</f>
        <v>8.01</v>
      </c>
      <c r="P304" s="9">
        <v>0</v>
      </c>
      <c r="Q304" s="9">
        <v>0</v>
      </c>
      <c r="R304" s="12">
        <f t="shared" si="194"/>
        <v>10</v>
      </c>
      <c r="S304" s="12">
        <f t="shared" si="195"/>
        <v>8</v>
      </c>
      <c r="T304" s="12">
        <f t="shared" ref="T304:T328" si="211">SUM(ROUND(R304,0),ROUND(S304,0))</f>
        <v>18</v>
      </c>
      <c r="U304" s="9" t="str">
        <f t="shared" si="168"/>
        <v>fire</v>
      </c>
      <c r="V304" s="9" t="s">
        <v>13</v>
      </c>
      <c r="W304" s="9" t="s">
        <v>22</v>
      </c>
      <c r="X304" s="9" t="s">
        <v>42</v>
      </c>
      <c r="Y304" s="9"/>
      <c r="Z304" s="12" t="str">
        <f>IF(ISBLANK(Y304), "", ROUND(( (T306-6)*(T306-7) - (T304-6)*(T304-7) )/15, 0) + 1)</f>
        <v/>
      </c>
      <c r="AA304" s="8" t="str">
        <f t="shared" si="167"/>
        <v>Typhlosion</v>
      </c>
      <c r="AB304" s="10"/>
      <c r="AC304" s="8" t="s">
        <v>777</v>
      </c>
      <c r="AD304" s="8" t="str">
        <f>VLOOKUP(AC304,moves!A:B,2,FALSE)</f>
        <v>fire</v>
      </c>
      <c r="AE304" s="8" t="str">
        <f>VLOOKUP(AC304,moves!A:D,4,FALSE)</f>
        <v>?</v>
      </c>
      <c r="AF304" s="8" t="str">
        <f>VLOOKUP(AC304,moves!A:E,5,FALSE)</f>
        <v>Attack strength is equal to the current health of the user. Maximum 7 attack strength.</v>
      </c>
      <c r="AG304" s="11">
        <v>0</v>
      </c>
      <c r="AH304" s="11">
        <v>0</v>
      </c>
      <c r="AI304" s="8" t="str" cm="1">
        <f t="array" ref="AI304">_xlfn.IFS(AG304=1, "starter", AH304=1, "legendary",T304&lt; 13, "weak",T304&lt; 17, "moderate", TRUE, "strong")</f>
        <v>strong</v>
      </c>
      <c r="AK304" s="8">
        <v>3</v>
      </c>
      <c r="AL304" s="8">
        <v>0</v>
      </c>
      <c r="AM304" s="8">
        <v>1</v>
      </c>
    </row>
    <row r="305" spans="1:39" s="8" customFormat="1" x14ac:dyDescent="0.25">
      <c r="A305" s="9" t="s">
        <v>1346</v>
      </c>
      <c r="B305" s="10" t="s">
        <v>776</v>
      </c>
      <c r="C305" s="3" t="s">
        <v>4</v>
      </c>
      <c r="D305" s="3"/>
      <c r="E305" s="9">
        <v>78</v>
      </c>
      <c r="F305" s="9">
        <v>84</v>
      </c>
      <c r="G305" s="9">
        <v>78</v>
      </c>
      <c r="H305" s="9">
        <v>109</v>
      </c>
      <c r="I305" s="9">
        <v>85</v>
      </c>
      <c r="J305" s="9">
        <v>100</v>
      </c>
      <c r="K305" s="9" t="s">
        <v>770</v>
      </c>
      <c r="L305" s="9" t="s">
        <v>304</v>
      </c>
      <c r="M305" s="9" t="s">
        <v>302</v>
      </c>
      <c r="N305" s="9">
        <f t="shared" ref="N305" si="212">(0.4*J305 + 0.5*MAX(F305,H305) + 0.1*MIN(F305,H305)) / 10</f>
        <v>10.290000000000001</v>
      </c>
      <c r="O305" s="9">
        <f t="shared" ref="O305" si="213">(0.4*E305 + 0.3*G305 + 0.3*I305) / 10</f>
        <v>8.01</v>
      </c>
      <c r="P305" s="9">
        <v>1</v>
      </c>
      <c r="Q305" s="9">
        <v>2</v>
      </c>
      <c r="R305" s="12">
        <f t="shared" ref="R305" si="214">ROUND(N305,0)+P305</f>
        <v>11</v>
      </c>
      <c r="S305" s="12">
        <f t="shared" ref="S305" si="215">ROUND(O305,0)+Q305</f>
        <v>10</v>
      </c>
      <c r="T305" s="12">
        <f t="shared" ref="T305" si="216">SUM(ROUND(R305,0),ROUND(S305,0))</f>
        <v>21</v>
      </c>
      <c r="U305" s="9" t="str">
        <f t="shared" ref="U305" si="217">C305</f>
        <v>fire</v>
      </c>
      <c r="V305" s="9" t="s">
        <v>13</v>
      </c>
      <c r="W305" s="9" t="s">
        <v>22</v>
      </c>
      <c r="X305" s="9" t="s">
        <v>42</v>
      </c>
      <c r="Y305" s="9"/>
      <c r="Z305" s="12" t="str">
        <f>IF(ISBLANK(Y305), "", ROUND(( (T307-6)*(T307-7) - (T305-6)*(T305-7) )/15, 0) + 1)</f>
        <v/>
      </c>
      <c r="AA305" s="8" t="str">
        <f t="shared" ref="AA305" si="218">B305</f>
        <v>Typhlosion</v>
      </c>
      <c r="AB305" s="10" t="s">
        <v>1338</v>
      </c>
      <c r="AC305" s="8" t="s">
        <v>777</v>
      </c>
      <c r="AD305" s="8" t="str">
        <f>VLOOKUP(AC305,moves!A:B,2,FALSE)</f>
        <v>fire</v>
      </c>
      <c r="AE305" s="8" t="str">
        <f>VLOOKUP(AC305,moves!A:D,4,FALSE)</f>
        <v>?</v>
      </c>
      <c r="AF305" s="8" t="str">
        <f>VLOOKUP(AC305,moves!A:E,5,FALSE)</f>
        <v>Attack strength is equal to the current health of the user. Maximum 7 attack strength.</v>
      </c>
      <c r="AG305" s="11">
        <v>0</v>
      </c>
      <c r="AH305" s="11">
        <v>1</v>
      </c>
      <c r="AI305" s="8" t="str" cm="1">
        <f t="array" ref="AI305">_xlfn.IFS(AG305=1, "starter", AH305=1, "legendary",T305&lt; 13, "weak",T305&lt; 17, "moderate", TRUE, "strong")</f>
        <v>legendary</v>
      </c>
      <c r="AK305" s="8">
        <v>3</v>
      </c>
      <c r="AL305" s="8">
        <v>0</v>
      </c>
      <c r="AM305" s="8">
        <v>2</v>
      </c>
    </row>
    <row r="306" spans="1:39" s="8" customFormat="1" x14ac:dyDescent="0.25">
      <c r="A306" s="9">
        <v>501</v>
      </c>
      <c r="B306" s="10" t="s">
        <v>787</v>
      </c>
      <c r="C306" s="3" t="s">
        <v>6</v>
      </c>
      <c r="D306" s="3"/>
      <c r="E306" s="9">
        <v>55</v>
      </c>
      <c r="F306" s="9">
        <v>55</v>
      </c>
      <c r="G306" s="9">
        <v>45</v>
      </c>
      <c r="H306" s="9">
        <v>63</v>
      </c>
      <c r="I306" s="9">
        <v>45</v>
      </c>
      <c r="J306" s="9">
        <v>45</v>
      </c>
      <c r="K306" s="9" t="s">
        <v>788</v>
      </c>
      <c r="L306" s="9" t="s">
        <v>303</v>
      </c>
      <c r="M306" s="9" t="s">
        <v>299</v>
      </c>
      <c r="N306" s="9">
        <f t="shared" si="209"/>
        <v>5.5</v>
      </c>
      <c r="O306" s="9">
        <f t="shared" si="210"/>
        <v>4.9000000000000004</v>
      </c>
      <c r="P306" s="9">
        <v>-1</v>
      </c>
      <c r="Q306" s="9">
        <v>0</v>
      </c>
      <c r="R306" s="12">
        <f t="shared" si="194"/>
        <v>5</v>
      </c>
      <c r="S306" s="12">
        <f t="shared" si="195"/>
        <v>5</v>
      </c>
      <c r="T306" s="12">
        <f t="shared" si="211"/>
        <v>10</v>
      </c>
      <c r="U306" s="9" t="str">
        <f t="shared" si="168"/>
        <v>water</v>
      </c>
      <c r="V306" s="9" t="s">
        <v>7</v>
      </c>
      <c r="W306" s="9" t="s">
        <v>14</v>
      </c>
      <c r="X306" s="9" t="s">
        <v>8</v>
      </c>
      <c r="Y306" s="9" t="str">
        <f>B307</f>
        <v>Dewott</v>
      </c>
      <c r="Z306" s="12">
        <f t="shared" si="191"/>
        <v>4</v>
      </c>
      <c r="AA306" s="8" t="str">
        <f t="shared" si="167"/>
        <v>Oshawott</v>
      </c>
      <c r="AB306" s="10"/>
      <c r="AC306" s="8" t="s">
        <v>655</v>
      </c>
      <c r="AD306" s="8" t="str">
        <f>VLOOKUP(AC306,moves!A:B,2,FALSE)</f>
        <v>water</v>
      </c>
      <c r="AE306" s="8">
        <f>VLOOKUP(AC306,moves!A:D,4,FALSE)</f>
        <v>3</v>
      </c>
      <c r="AF306" s="8" t="str">
        <f>VLOOKUP(AC306,moves!A:E,5,FALSE)</f>
        <v>The user may switch out.</v>
      </c>
      <c r="AG306" s="11">
        <v>1</v>
      </c>
      <c r="AH306" s="11">
        <v>0</v>
      </c>
      <c r="AI306" s="8" t="str" cm="1">
        <f t="array" ref="AI306">_xlfn.IFS(AG306=1, "starter", AH306=1, "legendary",T306&lt; 13, "weak",T306&lt; 17, "moderate", TRUE, "strong")</f>
        <v>starter</v>
      </c>
      <c r="AK306" s="8">
        <v>1</v>
      </c>
      <c r="AL306" s="8">
        <v>0</v>
      </c>
      <c r="AM306" s="8">
        <v>0</v>
      </c>
    </row>
    <row r="307" spans="1:39" s="8" customFormat="1" x14ac:dyDescent="0.25">
      <c r="A307" s="9">
        <v>502</v>
      </c>
      <c r="B307" s="10" t="s">
        <v>789</v>
      </c>
      <c r="C307" s="3" t="s">
        <v>6</v>
      </c>
      <c r="D307" s="3"/>
      <c r="E307" s="9">
        <v>75</v>
      </c>
      <c r="F307" s="9">
        <v>75</v>
      </c>
      <c r="G307" s="9">
        <v>60</v>
      </c>
      <c r="H307" s="9">
        <v>83</v>
      </c>
      <c r="I307" s="9">
        <v>60</v>
      </c>
      <c r="J307" s="9">
        <v>60</v>
      </c>
      <c r="K307" s="9" t="s">
        <v>790</v>
      </c>
      <c r="L307" s="9" t="s">
        <v>303</v>
      </c>
      <c r="M307" s="9" t="s">
        <v>299</v>
      </c>
      <c r="N307" s="9">
        <f t="shared" si="209"/>
        <v>7.3</v>
      </c>
      <c r="O307" s="9">
        <f t="shared" si="210"/>
        <v>6.6</v>
      </c>
      <c r="P307" s="9">
        <v>0</v>
      </c>
      <c r="Q307" s="9">
        <v>0</v>
      </c>
      <c r="R307" s="12">
        <f t="shared" si="194"/>
        <v>7</v>
      </c>
      <c r="S307" s="12">
        <f t="shared" si="195"/>
        <v>7</v>
      </c>
      <c r="T307" s="12">
        <f t="shared" si="211"/>
        <v>14</v>
      </c>
      <c r="U307" s="9" t="str">
        <f t="shared" si="168"/>
        <v>water</v>
      </c>
      <c r="V307" s="9" t="s">
        <v>7</v>
      </c>
      <c r="W307" s="9" t="s">
        <v>14</v>
      </c>
      <c r="X307" s="9" t="s">
        <v>8</v>
      </c>
      <c r="Y307" s="9" t="str">
        <f>B308</f>
        <v>Samurott</v>
      </c>
      <c r="Z307" s="12">
        <f t="shared" si="191"/>
        <v>6</v>
      </c>
      <c r="AA307" s="8" t="str">
        <f t="shared" si="167"/>
        <v>Dewott</v>
      </c>
      <c r="AB307" s="10"/>
      <c r="AC307" s="8" t="s">
        <v>793</v>
      </c>
      <c r="AD307" s="8" t="str">
        <f>VLOOKUP(AC307,moves!A:B,2,FALSE)</f>
        <v>water</v>
      </c>
      <c r="AE307" s="8">
        <f>VLOOKUP(AC307,moves!A:D,4,FALSE)</f>
        <v>4</v>
      </c>
      <c r="AF307" s="8" t="str">
        <f>VLOOKUP(AC307,moves!A:E,5,FALSE)</f>
        <v>When the target is next attacked, add a regular hit to the roll.</v>
      </c>
      <c r="AG307" s="11">
        <v>0</v>
      </c>
      <c r="AH307" s="11">
        <v>0</v>
      </c>
      <c r="AI307" s="8" t="str" cm="1">
        <f t="array" ref="AI307">_xlfn.IFS(AG307=1, "starter", AH307=1, "legendary",T307&lt; 13, "weak",T307&lt; 17, "moderate", TRUE, "strong")</f>
        <v>moderate</v>
      </c>
      <c r="AK307" s="8">
        <v>2</v>
      </c>
      <c r="AL307" s="8">
        <v>0</v>
      </c>
      <c r="AM307" s="8">
        <v>0</v>
      </c>
    </row>
    <row r="308" spans="1:39" s="8" customFormat="1" x14ac:dyDescent="0.25">
      <c r="A308" s="29">
        <v>503</v>
      </c>
      <c r="B308" s="25" t="s">
        <v>792</v>
      </c>
      <c r="C308" s="47" t="s">
        <v>6</v>
      </c>
      <c r="D308" s="47"/>
      <c r="E308" s="29">
        <v>90</v>
      </c>
      <c r="F308" s="29">
        <v>108</v>
      </c>
      <c r="G308" s="29">
        <v>80</v>
      </c>
      <c r="H308" s="29">
        <v>100</v>
      </c>
      <c r="I308" s="29">
        <v>65</v>
      </c>
      <c r="J308" s="29">
        <v>85</v>
      </c>
      <c r="K308" s="29" t="s">
        <v>791</v>
      </c>
      <c r="L308" s="29" t="s">
        <v>303</v>
      </c>
      <c r="M308" s="29" t="s">
        <v>299</v>
      </c>
      <c r="N308" s="29">
        <f t="shared" si="209"/>
        <v>9.8000000000000007</v>
      </c>
      <c r="O308" s="29">
        <f t="shared" si="210"/>
        <v>7.95</v>
      </c>
      <c r="P308" s="29">
        <v>0</v>
      </c>
      <c r="Q308" s="29">
        <v>0</v>
      </c>
      <c r="R308" s="48">
        <f t="shared" si="194"/>
        <v>10</v>
      </c>
      <c r="S308" s="48">
        <f t="shared" si="195"/>
        <v>8</v>
      </c>
      <c r="T308" s="48">
        <f t="shared" si="211"/>
        <v>18</v>
      </c>
      <c r="U308" s="29" t="str">
        <f t="shared" si="168"/>
        <v>water</v>
      </c>
      <c r="V308" s="29" t="s">
        <v>7</v>
      </c>
      <c r="W308" s="29" t="s">
        <v>14</v>
      </c>
      <c r="X308" s="29" t="s">
        <v>9</v>
      </c>
      <c r="Y308" s="9"/>
      <c r="Z308" s="12" t="str">
        <f>IF(ISBLANK(Y308), "", ROUND(( (T310-6)*(T310-7) - (T308-6)*(T308-7) )/15, 0) + 1)</f>
        <v/>
      </c>
      <c r="AA308" s="26" t="str">
        <f t="shared" si="167"/>
        <v>Samurott</v>
      </c>
      <c r="AB308" s="25"/>
      <c r="AC308" s="26" t="s">
        <v>500</v>
      </c>
      <c r="AD308" s="8" t="str">
        <f>VLOOKUP(AC308,moves!A:B,2,FALSE)</f>
        <v>bug</v>
      </c>
      <c r="AE308" s="8">
        <f>VLOOKUP(AC308,moves!A:D,4,FALSE)</f>
        <v>5</v>
      </c>
      <c r="AF308" s="8" t="str">
        <f>VLOOKUP(AC308,moves!A:E,5,FALSE)</f>
        <v>Critical hits deal +1 damage but status symbols deal -1 damage.</v>
      </c>
      <c r="AG308" s="27">
        <v>0</v>
      </c>
      <c r="AH308" s="27">
        <v>0</v>
      </c>
      <c r="AI308" s="26" t="str" cm="1">
        <f t="array" ref="AI308">_xlfn.IFS(AG308=1, "starter", AH308=1, "legendary",T308&lt; 13, "weak",T308&lt; 17, "moderate", TRUE, "strong")</f>
        <v>strong</v>
      </c>
      <c r="AJ308" s="26"/>
      <c r="AK308" s="26">
        <v>3</v>
      </c>
      <c r="AL308" s="8">
        <v>0</v>
      </c>
      <c r="AM308" s="8">
        <v>1</v>
      </c>
    </row>
    <row r="309" spans="1:39" s="8" customFormat="1" x14ac:dyDescent="0.25">
      <c r="A309" s="29" t="s">
        <v>1347</v>
      </c>
      <c r="B309" s="25" t="s">
        <v>792</v>
      </c>
      <c r="C309" s="47" t="s">
        <v>6</v>
      </c>
      <c r="D309" s="47"/>
      <c r="E309" s="29">
        <v>90</v>
      </c>
      <c r="F309" s="29">
        <v>108</v>
      </c>
      <c r="G309" s="29">
        <v>80</v>
      </c>
      <c r="H309" s="29">
        <v>100</v>
      </c>
      <c r="I309" s="29">
        <v>65</v>
      </c>
      <c r="J309" s="29">
        <v>85</v>
      </c>
      <c r="K309" s="29" t="s">
        <v>791</v>
      </c>
      <c r="L309" s="29" t="s">
        <v>303</v>
      </c>
      <c r="M309" s="29" t="s">
        <v>299</v>
      </c>
      <c r="N309" s="29">
        <f t="shared" ref="N309" si="219">(0.4*J309 + 0.5*MAX(F309,H309) + 0.1*MIN(F309,H309)) / 10</f>
        <v>9.8000000000000007</v>
      </c>
      <c r="O309" s="29">
        <f t="shared" ref="O309" si="220">(0.4*E309 + 0.3*G309 + 0.3*I309) / 10</f>
        <v>7.95</v>
      </c>
      <c r="P309" s="29">
        <v>1</v>
      </c>
      <c r="Q309" s="29">
        <v>2</v>
      </c>
      <c r="R309" s="48">
        <f t="shared" ref="R309" si="221">ROUND(N309,0)+P309</f>
        <v>11</v>
      </c>
      <c r="S309" s="48">
        <f t="shared" ref="S309" si="222">ROUND(O309,0)+Q309</f>
        <v>10</v>
      </c>
      <c r="T309" s="48">
        <f t="shared" ref="T309" si="223">SUM(ROUND(R309,0),ROUND(S309,0))</f>
        <v>21</v>
      </c>
      <c r="U309" s="29" t="str">
        <f t="shared" ref="U309" si="224">C309</f>
        <v>water</v>
      </c>
      <c r="V309" s="29" t="s">
        <v>7</v>
      </c>
      <c r="W309" s="29" t="s">
        <v>14</v>
      </c>
      <c r="X309" s="29" t="s">
        <v>9</v>
      </c>
      <c r="Y309" s="9"/>
      <c r="Z309" s="12" t="str">
        <f>IF(ISBLANK(Y309), "", ROUND(( (T311-6)*(T311-7) - (T309-6)*(T309-7) )/15, 0) + 1)</f>
        <v/>
      </c>
      <c r="AA309" s="59" t="str">
        <f t="shared" ref="AA309" si="225">B309</f>
        <v>Samurott</v>
      </c>
      <c r="AB309" s="25" t="s">
        <v>1338</v>
      </c>
      <c r="AC309" s="59" t="s">
        <v>500</v>
      </c>
      <c r="AD309" s="8" t="str">
        <f>VLOOKUP(AC309,moves!A:B,2,FALSE)</f>
        <v>bug</v>
      </c>
      <c r="AE309" s="8">
        <f>VLOOKUP(AC309,moves!A:D,4,FALSE)</f>
        <v>5</v>
      </c>
      <c r="AF309" s="8" t="str">
        <f>VLOOKUP(AC309,moves!A:E,5,FALSE)</f>
        <v>Critical hits deal +1 damage but status symbols deal -1 damage.</v>
      </c>
      <c r="AG309" s="27">
        <v>0</v>
      </c>
      <c r="AH309" s="27">
        <v>1</v>
      </c>
      <c r="AI309" s="59" t="str" cm="1">
        <f t="array" ref="AI309">_xlfn.IFS(AG309=1, "starter", AH309=1, "legendary",T309&lt; 13, "weak",T309&lt; 17, "moderate", TRUE, "strong")</f>
        <v>legendary</v>
      </c>
      <c r="AJ309" s="59"/>
      <c r="AK309" s="59">
        <v>3</v>
      </c>
      <c r="AL309" s="8">
        <v>0</v>
      </c>
      <c r="AM309" s="8">
        <v>2</v>
      </c>
    </row>
    <row r="310" spans="1:39" s="8" customFormat="1" x14ac:dyDescent="0.25">
      <c r="A310" s="25">
        <v>803</v>
      </c>
      <c r="B310" s="25" t="s">
        <v>853</v>
      </c>
      <c r="C310" s="47" t="s">
        <v>3</v>
      </c>
      <c r="D310" s="47"/>
      <c r="E310" s="25">
        <v>67</v>
      </c>
      <c r="F310" s="25">
        <v>73</v>
      </c>
      <c r="G310" s="25">
        <v>67</v>
      </c>
      <c r="H310" s="25">
        <v>73</v>
      </c>
      <c r="I310" s="25">
        <v>67</v>
      </c>
      <c r="J310" s="25">
        <v>73</v>
      </c>
      <c r="K310" s="25" t="s">
        <v>854</v>
      </c>
      <c r="L310" s="29"/>
      <c r="M310" s="25" t="s">
        <v>554</v>
      </c>
      <c r="N310" s="25">
        <f t="shared" si="209"/>
        <v>7.3</v>
      </c>
      <c r="O310" s="25">
        <f t="shared" si="210"/>
        <v>6.7</v>
      </c>
      <c r="P310" s="25">
        <v>0</v>
      </c>
      <c r="Q310" s="25">
        <v>0</v>
      </c>
      <c r="R310" s="48">
        <f t="shared" si="194"/>
        <v>7</v>
      </c>
      <c r="S310" s="48">
        <f t="shared" si="195"/>
        <v>7</v>
      </c>
      <c r="T310" s="48">
        <f t="shared" si="211"/>
        <v>14</v>
      </c>
      <c r="U310" s="25" t="str">
        <f t="shared" si="168"/>
        <v>poison</v>
      </c>
      <c r="V310" s="25" t="s">
        <v>8</v>
      </c>
      <c r="W310" s="25" t="s">
        <v>7</v>
      </c>
      <c r="X310" s="25" t="s">
        <v>5</v>
      </c>
      <c r="Y310" s="9" t="str">
        <f>B311</f>
        <v>Naganadel</v>
      </c>
      <c r="Z310" s="12">
        <f t="shared" si="191"/>
        <v>8</v>
      </c>
      <c r="AA310" s="27" t="str">
        <f t="shared" si="167"/>
        <v>Poipole</v>
      </c>
      <c r="AB310" s="25"/>
      <c r="AC310" s="27" t="s">
        <v>496</v>
      </c>
      <c r="AD310" s="8" t="str">
        <f>VLOOKUP(AC310,moves!A:B,2,FALSE)</f>
        <v>poison</v>
      </c>
      <c r="AE310" s="8">
        <f>VLOOKUP(AC310,moves!A:D,4,FALSE)</f>
        <v>1</v>
      </c>
      <c r="AF310" s="8" t="str">
        <f>VLOOKUP(AC310,moves!A:E,5,FALSE)</f>
        <v>Inflict the Poisoned status on the target. If the target is already Poisoned, attack strength is increased to 3.</v>
      </c>
      <c r="AG310" s="27">
        <v>1</v>
      </c>
      <c r="AH310" s="27">
        <v>0</v>
      </c>
      <c r="AI310" s="27" t="str" cm="1">
        <f t="array" ref="AI310">_xlfn.IFS(AG310=1, "starter", AH310=1, "legendary",T310&lt; 13, "weak",T310&lt; 17, "moderate", TRUE, "strong")</f>
        <v>starter</v>
      </c>
      <c r="AJ310" s="26"/>
      <c r="AK310" s="27">
        <v>1</v>
      </c>
      <c r="AL310" s="8">
        <v>0</v>
      </c>
      <c r="AM310" s="8">
        <v>0</v>
      </c>
    </row>
    <row r="311" spans="1:39" s="8" customFormat="1" x14ac:dyDescent="0.25">
      <c r="A311" s="25">
        <v>804</v>
      </c>
      <c r="B311" s="25" t="s">
        <v>855</v>
      </c>
      <c r="C311" s="47" t="s">
        <v>3</v>
      </c>
      <c r="D311" s="47" t="s">
        <v>67</v>
      </c>
      <c r="E311" s="25">
        <v>73</v>
      </c>
      <c r="F311" s="25">
        <v>73</v>
      </c>
      <c r="G311" s="25">
        <v>73</v>
      </c>
      <c r="H311" s="25">
        <v>127</v>
      </c>
      <c r="I311" s="25">
        <v>73</v>
      </c>
      <c r="J311" s="25">
        <v>121</v>
      </c>
      <c r="K311" s="25" t="s">
        <v>854</v>
      </c>
      <c r="L311" s="29"/>
      <c r="M311" s="25" t="s">
        <v>554</v>
      </c>
      <c r="N311" s="25">
        <f t="shared" si="209"/>
        <v>11.92</v>
      </c>
      <c r="O311" s="25">
        <f t="shared" si="210"/>
        <v>7.3</v>
      </c>
      <c r="P311" s="25">
        <v>0</v>
      </c>
      <c r="Q311" s="25">
        <v>0</v>
      </c>
      <c r="R311" s="48">
        <f t="shared" si="194"/>
        <v>12</v>
      </c>
      <c r="S311" s="48">
        <f t="shared" si="195"/>
        <v>7</v>
      </c>
      <c r="T311" s="48">
        <f t="shared" si="211"/>
        <v>19</v>
      </c>
      <c r="U311" s="25" t="str">
        <f t="shared" si="168"/>
        <v>poison</v>
      </c>
      <c r="V311" s="9" t="str">
        <f>IF(D311 = 0, "", D311)</f>
        <v>dragon</v>
      </c>
      <c r="W311" s="25" t="s">
        <v>7</v>
      </c>
      <c r="X311" s="25" t="s">
        <v>5</v>
      </c>
      <c r="Y311" s="9"/>
      <c r="Z311" s="12" t="str">
        <f>IF(ISBLANK(Y311), "", ROUND(( (T313-6)*(T313-7) - (T311-6)*(T311-7) )/15, 0) + 1)</f>
        <v/>
      </c>
      <c r="AA311" s="27" t="str">
        <f t="shared" si="167"/>
        <v>Naganadel</v>
      </c>
      <c r="AB311" s="25"/>
      <c r="AC311" s="27" t="s">
        <v>815</v>
      </c>
      <c r="AD311" s="8" t="str">
        <f>VLOOKUP(AC311,moves!A:B,2,FALSE)</f>
        <v>dragon</v>
      </c>
      <c r="AE311" s="8">
        <f>VLOOKUP(AC311,moves!A:D,4,FALSE)</f>
        <v>4</v>
      </c>
      <c r="AF311" s="8" t="str">
        <f>VLOOKUP(AC311,moves!A:E,5,FALSE)</f>
        <v>Status symbols deal +1 damage.</v>
      </c>
      <c r="AG311" s="27">
        <v>0</v>
      </c>
      <c r="AH311" s="27">
        <v>0</v>
      </c>
      <c r="AI311" s="27" t="str" cm="1">
        <f t="array" ref="AI311">_xlfn.IFS(AG311=1, "starter", AH311=1, "legendary",T311&lt; 13, "weak",T311&lt; 17, "moderate", TRUE, "strong")</f>
        <v>strong</v>
      </c>
      <c r="AJ311" s="26"/>
      <c r="AK311" s="27">
        <v>2</v>
      </c>
      <c r="AL311" s="8">
        <v>0</v>
      </c>
      <c r="AM311" s="8">
        <v>1</v>
      </c>
    </row>
    <row r="312" spans="1:39" s="8" customFormat="1" x14ac:dyDescent="0.25">
      <c r="A312" s="25" t="s">
        <v>1348</v>
      </c>
      <c r="B312" s="25" t="s">
        <v>855</v>
      </c>
      <c r="C312" s="47" t="s">
        <v>3</v>
      </c>
      <c r="D312" s="47" t="s">
        <v>67</v>
      </c>
      <c r="E312" s="25">
        <v>73</v>
      </c>
      <c r="F312" s="25">
        <v>73</v>
      </c>
      <c r="G312" s="25">
        <v>73</v>
      </c>
      <c r="H312" s="25">
        <v>127</v>
      </c>
      <c r="I312" s="25">
        <v>73</v>
      </c>
      <c r="J312" s="25">
        <v>121</v>
      </c>
      <c r="K312" s="25" t="s">
        <v>854</v>
      </c>
      <c r="L312" s="29"/>
      <c r="M312" s="25" t="s">
        <v>554</v>
      </c>
      <c r="N312" s="25">
        <f t="shared" ref="N312" si="226">(0.4*J312 + 0.5*MAX(F312,H312) + 0.1*MIN(F312,H312)) / 10</f>
        <v>11.92</v>
      </c>
      <c r="O312" s="25">
        <f t="shared" ref="O312" si="227">(0.4*E312 + 0.3*G312 + 0.3*I312) / 10</f>
        <v>7.3</v>
      </c>
      <c r="P312" s="25">
        <v>1</v>
      </c>
      <c r="Q312" s="25">
        <v>2</v>
      </c>
      <c r="R312" s="48">
        <f t="shared" ref="R312" si="228">ROUND(N312,0)+P312</f>
        <v>13</v>
      </c>
      <c r="S312" s="48">
        <f t="shared" ref="S312" si="229">ROUND(O312,0)+Q312</f>
        <v>9</v>
      </c>
      <c r="T312" s="48">
        <f t="shared" ref="T312" si="230">SUM(ROUND(R312,0),ROUND(S312,0))</f>
        <v>22</v>
      </c>
      <c r="U312" s="25" t="str">
        <f t="shared" ref="U312" si="231">C312</f>
        <v>poison</v>
      </c>
      <c r="V312" s="9" t="str">
        <f>IF(D312 = 0, "", D312)</f>
        <v>dragon</v>
      </c>
      <c r="W312" s="25" t="s">
        <v>7</v>
      </c>
      <c r="X312" s="25" t="s">
        <v>5</v>
      </c>
      <c r="Y312" s="9"/>
      <c r="Z312" s="12" t="str">
        <f>IF(ISBLANK(Y312), "", ROUND(( (T314-6)*(T314-7) - (T312-6)*(T312-7) )/15, 0) + 1)</f>
        <v/>
      </c>
      <c r="AA312" s="27" t="str">
        <f t="shared" ref="AA312" si="232">B312</f>
        <v>Naganadel</v>
      </c>
      <c r="AB312" s="25" t="s">
        <v>1338</v>
      </c>
      <c r="AC312" s="27" t="s">
        <v>815</v>
      </c>
      <c r="AD312" s="8" t="str">
        <f>VLOOKUP(AC312,moves!A:B,2,FALSE)</f>
        <v>dragon</v>
      </c>
      <c r="AE312" s="8">
        <f>VLOOKUP(AC312,moves!A:D,4,FALSE)</f>
        <v>4</v>
      </c>
      <c r="AF312" s="8" t="str">
        <f>VLOOKUP(AC312,moves!A:E,5,FALSE)</f>
        <v>Status symbols deal +1 damage.</v>
      </c>
      <c r="AG312" s="27">
        <v>0</v>
      </c>
      <c r="AH312" s="27">
        <v>1</v>
      </c>
      <c r="AI312" s="27" t="str" cm="1">
        <f t="array" ref="AI312">_xlfn.IFS(AG312=1, "starter", AH312=1, "legendary",T312&lt; 13, "weak",T312&lt; 17, "moderate", TRUE, "strong")</f>
        <v>legendary</v>
      </c>
      <c r="AJ312" s="59"/>
      <c r="AK312" s="27">
        <v>2</v>
      </c>
      <c r="AL312" s="8">
        <v>0</v>
      </c>
      <c r="AM312" s="8">
        <v>2</v>
      </c>
    </row>
    <row r="313" spans="1:39" s="8" customFormat="1" x14ac:dyDescent="0.25">
      <c r="A313" s="25">
        <v>686</v>
      </c>
      <c r="B313" s="25" t="s">
        <v>898</v>
      </c>
      <c r="C313" s="47" t="s">
        <v>9</v>
      </c>
      <c r="D313" s="47" t="s">
        <v>26</v>
      </c>
      <c r="E313" s="25">
        <v>53</v>
      </c>
      <c r="F313" s="25">
        <v>54</v>
      </c>
      <c r="G313" s="25">
        <v>53</v>
      </c>
      <c r="H313" s="25">
        <v>37</v>
      </c>
      <c r="I313" s="25">
        <v>46</v>
      </c>
      <c r="J313" s="25">
        <v>45</v>
      </c>
      <c r="K313" s="25" t="s">
        <v>899</v>
      </c>
      <c r="L313" s="25" t="s">
        <v>303</v>
      </c>
      <c r="M313" s="25" t="s">
        <v>299</v>
      </c>
      <c r="N313" s="25">
        <f t="shared" si="209"/>
        <v>4.87</v>
      </c>
      <c r="O313" s="25">
        <f t="shared" si="210"/>
        <v>5.09</v>
      </c>
      <c r="P313" s="25">
        <v>0</v>
      </c>
      <c r="Q313" s="25">
        <v>0</v>
      </c>
      <c r="R313" s="48">
        <f t="shared" si="194"/>
        <v>5</v>
      </c>
      <c r="S313" s="48">
        <f t="shared" si="195"/>
        <v>5</v>
      </c>
      <c r="T313" s="48">
        <f t="shared" si="211"/>
        <v>10</v>
      </c>
      <c r="U313" s="25" t="str">
        <f t="shared" si="168"/>
        <v>dark</v>
      </c>
      <c r="V313" s="9" t="str">
        <f>IF(D313 = 0, "", D313)</f>
        <v>psychic</v>
      </c>
      <c r="W313" s="25" t="s">
        <v>22</v>
      </c>
      <c r="X313" s="25" t="s">
        <v>5</v>
      </c>
      <c r="Y313" s="9" t="str">
        <f>B314</f>
        <v>Malamar</v>
      </c>
      <c r="Z313" s="12">
        <f t="shared" si="191"/>
        <v>6</v>
      </c>
      <c r="AA313" s="27" t="str">
        <f t="shared" si="167"/>
        <v>Inkay</v>
      </c>
      <c r="AB313" s="25"/>
      <c r="AC313" s="27" t="s">
        <v>902</v>
      </c>
      <c r="AD313" s="8" t="str">
        <f>VLOOKUP(AC313,moves!A:B,2,FALSE)</f>
        <v>dark</v>
      </c>
      <c r="AE313" s="8">
        <f>VLOOKUP(AC313,moves!A:D,4,FALSE)</f>
        <v>1</v>
      </c>
      <c r="AF313" s="8" t="str">
        <f>VLOOKUP(AC313,moves!A:E,5,FALSE)</f>
        <v>Inflict both the Drowsy and Confused statuses on the target simultaneously.</v>
      </c>
      <c r="AG313" s="27">
        <v>0</v>
      </c>
      <c r="AH313" s="27">
        <v>0</v>
      </c>
      <c r="AI313" s="27" t="str" cm="1">
        <f t="array" ref="AI313">_xlfn.IFS(AG313=1, "starter", AH313=1, "legendary",T313&lt; 13, "weak",T313&lt; 17, "moderate", TRUE, "strong")</f>
        <v>weak</v>
      </c>
      <c r="AJ313" s="26"/>
      <c r="AK313" s="27">
        <v>1</v>
      </c>
      <c r="AL313" s="8">
        <v>0</v>
      </c>
      <c r="AM313" s="8">
        <v>0</v>
      </c>
    </row>
    <row r="314" spans="1:39" s="8" customFormat="1" x14ac:dyDescent="0.25">
      <c r="A314" s="25">
        <v>687</v>
      </c>
      <c r="B314" s="25" t="s">
        <v>900</v>
      </c>
      <c r="C314" s="47" t="s">
        <v>9</v>
      </c>
      <c r="D314" s="47" t="s">
        <v>26</v>
      </c>
      <c r="E314" s="25">
        <v>86</v>
      </c>
      <c r="F314" s="25">
        <v>92</v>
      </c>
      <c r="G314" s="25">
        <v>88</v>
      </c>
      <c r="H314" s="25">
        <v>68</v>
      </c>
      <c r="I314" s="25">
        <v>75</v>
      </c>
      <c r="J314" s="25">
        <v>73</v>
      </c>
      <c r="K314" s="25" t="s">
        <v>901</v>
      </c>
      <c r="L314" s="25" t="s">
        <v>303</v>
      </c>
      <c r="M314" s="25" t="s">
        <v>299</v>
      </c>
      <c r="N314" s="25">
        <f t="shared" si="209"/>
        <v>8.1999999999999993</v>
      </c>
      <c r="O314" s="25">
        <f t="shared" si="210"/>
        <v>8.33</v>
      </c>
      <c r="P314" s="25">
        <v>0</v>
      </c>
      <c r="Q314" s="25">
        <v>0</v>
      </c>
      <c r="R314" s="48">
        <f t="shared" si="194"/>
        <v>8</v>
      </c>
      <c r="S314" s="48">
        <f t="shared" si="195"/>
        <v>8</v>
      </c>
      <c r="T314" s="48">
        <f t="shared" si="211"/>
        <v>16</v>
      </c>
      <c r="U314" s="25" t="str">
        <f t="shared" ref="U314:U319" si="233">C314</f>
        <v>dark</v>
      </c>
      <c r="V314" s="9" t="str">
        <f>IF(D314 = 0, "", D314)</f>
        <v>psychic</v>
      </c>
      <c r="W314" s="25" t="s">
        <v>22</v>
      </c>
      <c r="X314" s="25" t="s">
        <v>5</v>
      </c>
      <c r="Y314" s="9"/>
      <c r="Z314" s="12" t="str">
        <f t="shared" si="191"/>
        <v/>
      </c>
      <c r="AA314" s="27" t="str">
        <f t="shared" si="167"/>
        <v>Malamar</v>
      </c>
      <c r="AB314" s="25"/>
      <c r="AC314" s="27" t="s">
        <v>904</v>
      </c>
      <c r="AD314" s="8" t="str">
        <f>VLOOKUP(AC314,moves!A:B,2,FALSE)</f>
        <v>psychic</v>
      </c>
      <c r="AE314" s="8">
        <f>VLOOKUP(AC314,moves!A:D,4,FALSE)</f>
        <v>4</v>
      </c>
      <c r="AF314" s="8" t="str">
        <f>VLOOKUP(AC314,moves!A:E,5,FALSE)</f>
        <v>Critical hits deal +1 damage.</v>
      </c>
      <c r="AG314" s="27">
        <v>0</v>
      </c>
      <c r="AH314" s="27">
        <v>0</v>
      </c>
      <c r="AI314" s="27" t="str" cm="1">
        <f t="array" ref="AI314">_xlfn.IFS(AG314=1, "starter", AH314=1, "legendary",T314&lt; 13, "weak",T314&lt; 17, "moderate", TRUE, "strong")</f>
        <v>moderate</v>
      </c>
      <c r="AJ314" s="26"/>
      <c r="AK314" s="27">
        <v>2</v>
      </c>
      <c r="AL314" s="8">
        <v>0</v>
      </c>
      <c r="AM314" s="8">
        <v>0</v>
      </c>
    </row>
    <row r="315" spans="1:39" s="8" customFormat="1" x14ac:dyDescent="0.25">
      <c r="A315" s="25">
        <v>602</v>
      </c>
      <c r="B315" s="25" t="s">
        <v>905</v>
      </c>
      <c r="C315" s="47" t="s">
        <v>11</v>
      </c>
      <c r="D315" s="47"/>
      <c r="E315" s="25">
        <v>35</v>
      </c>
      <c r="F315" s="25">
        <v>55</v>
      </c>
      <c r="G315" s="25">
        <v>40</v>
      </c>
      <c r="H315" s="25">
        <v>45</v>
      </c>
      <c r="I315" s="25">
        <v>40</v>
      </c>
      <c r="J315" s="25">
        <v>60</v>
      </c>
      <c r="K315" s="25" t="s">
        <v>908</v>
      </c>
      <c r="L315" s="25" t="s">
        <v>303</v>
      </c>
      <c r="M315" s="25" t="s">
        <v>300</v>
      </c>
      <c r="N315" s="25">
        <f t="shared" si="209"/>
        <v>5.6</v>
      </c>
      <c r="O315" s="25">
        <f t="shared" si="210"/>
        <v>3.8</v>
      </c>
      <c r="P315" s="25">
        <v>0</v>
      </c>
      <c r="Q315" s="25">
        <v>0</v>
      </c>
      <c r="R315" s="48">
        <f t="shared" ref="R315:R321" si="234">ROUND(N315,0)+P315</f>
        <v>6</v>
      </c>
      <c r="S315" s="48">
        <f t="shared" ref="S315:S321" si="235">ROUND(O315,0)+Q315</f>
        <v>4</v>
      </c>
      <c r="T315" s="48">
        <f t="shared" ref="T315:T321" si="236">SUM(ROUND(R315,0),ROUND(S315,0))</f>
        <v>10</v>
      </c>
      <c r="U315" s="25" t="str">
        <f t="shared" si="233"/>
        <v>electric</v>
      </c>
      <c r="V315" s="9" t="s">
        <v>3</v>
      </c>
      <c r="W315" s="25" t="s">
        <v>8</v>
      </c>
      <c r="X315" s="25" t="s">
        <v>9</v>
      </c>
      <c r="Y315" s="9" t="str">
        <f t="shared" ref="Y315:Y320" si="237">B316</f>
        <v>Eelektrik</v>
      </c>
      <c r="Z315" s="12">
        <f t="shared" si="191"/>
        <v>4</v>
      </c>
      <c r="AA315" s="27" t="str">
        <f t="shared" si="167"/>
        <v>Tynamo</v>
      </c>
      <c r="AB315" s="25"/>
      <c r="AC315" s="27" t="s">
        <v>909</v>
      </c>
      <c r="AD315" s="8" t="str">
        <f>VLOOKUP(AC315,moves!A:B,2,FALSE)</f>
        <v>electric</v>
      </c>
      <c r="AE315" s="8">
        <f>VLOOKUP(AC315,moves!A:D,4,FALSE)</f>
        <v>2</v>
      </c>
      <c r="AF315" s="8" t="str">
        <f>VLOOKUP(AC315,moves!A:E,5,FALSE)</f>
        <v>When the target is next attacked, add a critical hit to the roll.</v>
      </c>
      <c r="AG315" s="27">
        <v>0</v>
      </c>
      <c r="AH315" s="27">
        <v>0</v>
      </c>
      <c r="AI315" s="27" t="str" cm="1">
        <f t="array" ref="AI315">_xlfn.IFS(AG315=1, "starter", AH315=1, "legendary",T315&lt; 13, "weak",T315&lt; 17, "moderate", TRUE, "strong")</f>
        <v>weak</v>
      </c>
      <c r="AJ315" s="26"/>
      <c r="AK315" s="27">
        <v>1</v>
      </c>
      <c r="AL315" s="8">
        <v>0</v>
      </c>
      <c r="AM315" s="8">
        <v>0</v>
      </c>
    </row>
    <row r="316" spans="1:39" s="8" customFormat="1" x14ac:dyDescent="0.25">
      <c r="A316" s="25">
        <v>603</v>
      </c>
      <c r="B316" s="25" t="s">
        <v>906</v>
      </c>
      <c r="C316" s="47" t="s">
        <v>11</v>
      </c>
      <c r="D316" s="47"/>
      <c r="E316" s="25">
        <v>65</v>
      </c>
      <c r="F316" s="25">
        <v>85</v>
      </c>
      <c r="G316" s="25">
        <v>70</v>
      </c>
      <c r="H316" s="25">
        <v>75</v>
      </c>
      <c r="I316" s="25">
        <v>70</v>
      </c>
      <c r="J316" s="25">
        <v>40</v>
      </c>
      <c r="K316" s="25" t="s">
        <v>908</v>
      </c>
      <c r="L316" s="25" t="s">
        <v>303</v>
      </c>
      <c r="M316" s="25" t="s">
        <v>300</v>
      </c>
      <c r="N316" s="25">
        <f t="shared" si="209"/>
        <v>6.6</v>
      </c>
      <c r="O316" s="25">
        <f t="shared" si="210"/>
        <v>6.8</v>
      </c>
      <c r="P316" s="25">
        <v>0</v>
      </c>
      <c r="Q316" s="25">
        <v>0</v>
      </c>
      <c r="R316" s="48">
        <f t="shared" si="234"/>
        <v>7</v>
      </c>
      <c r="S316" s="48">
        <f t="shared" si="235"/>
        <v>7</v>
      </c>
      <c r="T316" s="48">
        <f t="shared" si="236"/>
        <v>14</v>
      </c>
      <c r="U316" s="25" t="str">
        <f t="shared" si="233"/>
        <v>electric</v>
      </c>
      <c r="V316" s="9" t="s">
        <v>3</v>
      </c>
      <c r="W316" s="25" t="s">
        <v>8</v>
      </c>
      <c r="X316" s="25" t="s">
        <v>9</v>
      </c>
      <c r="Y316" s="9" t="str">
        <f t="shared" si="237"/>
        <v>Eelektross</v>
      </c>
      <c r="Z316" s="12">
        <f t="shared" si="191"/>
        <v>5</v>
      </c>
      <c r="AA316" s="27" t="str">
        <f t="shared" si="167"/>
        <v>Eelektrik</v>
      </c>
      <c r="AB316" s="25"/>
      <c r="AC316" s="27" t="s">
        <v>911</v>
      </c>
      <c r="AD316" s="8" t="str">
        <f>VLOOKUP(AC316,moves!A:B,2,FALSE)</f>
        <v>poison</v>
      </c>
      <c r="AE316" s="8">
        <f>VLOOKUP(AC316,moves!A:D,4,FALSE)</f>
        <v>2</v>
      </c>
      <c r="AF316" s="8" t="str">
        <f>VLOOKUP(AC316,moves!A:E,5,FALSE)</f>
        <v>Increase the battle fatigue of the target by 3.</v>
      </c>
      <c r="AG316" s="27">
        <v>0</v>
      </c>
      <c r="AH316" s="27">
        <v>0</v>
      </c>
      <c r="AI316" s="27" t="str" cm="1">
        <f t="array" ref="AI316">_xlfn.IFS(AG316=1, "starter", AH316=1, "legendary",T316&lt; 13, "weak",T316&lt; 17, "moderate", TRUE, "strong")</f>
        <v>moderate</v>
      </c>
      <c r="AJ316" s="26"/>
      <c r="AK316" s="27">
        <v>2</v>
      </c>
      <c r="AL316" s="8">
        <v>0</v>
      </c>
      <c r="AM316" s="8">
        <v>0</v>
      </c>
    </row>
    <row r="317" spans="1:39" s="8" customFormat="1" x14ac:dyDescent="0.25">
      <c r="A317" s="25">
        <v>604</v>
      </c>
      <c r="B317" s="25" t="s">
        <v>907</v>
      </c>
      <c r="C317" s="47" t="s">
        <v>11</v>
      </c>
      <c r="D317" s="47"/>
      <c r="E317" s="25">
        <v>85</v>
      </c>
      <c r="F317" s="25">
        <v>115</v>
      </c>
      <c r="G317" s="25">
        <v>80</v>
      </c>
      <c r="H317" s="25">
        <v>105</v>
      </c>
      <c r="I317" s="25">
        <v>80</v>
      </c>
      <c r="J317" s="25">
        <v>50</v>
      </c>
      <c r="K317" s="25" t="s">
        <v>908</v>
      </c>
      <c r="L317" s="25" t="s">
        <v>303</v>
      </c>
      <c r="M317" s="25" t="s">
        <v>300</v>
      </c>
      <c r="N317" s="25">
        <f t="shared" si="209"/>
        <v>8.8000000000000007</v>
      </c>
      <c r="O317" s="25">
        <f t="shared" si="210"/>
        <v>8.1999999999999993</v>
      </c>
      <c r="P317" s="25">
        <v>0</v>
      </c>
      <c r="Q317" s="25">
        <v>0</v>
      </c>
      <c r="R317" s="48">
        <f t="shared" si="234"/>
        <v>9</v>
      </c>
      <c r="S317" s="48">
        <f t="shared" si="235"/>
        <v>8</v>
      </c>
      <c r="T317" s="48">
        <f t="shared" si="236"/>
        <v>17</v>
      </c>
      <c r="U317" s="25" t="str">
        <f t="shared" si="233"/>
        <v>electric</v>
      </c>
      <c r="V317" s="9" t="s">
        <v>3</v>
      </c>
      <c r="W317" s="25" t="s">
        <v>8</v>
      </c>
      <c r="X317" s="25" t="s">
        <v>9</v>
      </c>
      <c r="Y317" s="9"/>
      <c r="Z317" s="12" t="str">
        <f t="shared" si="191"/>
        <v/>
      </c>
      <c r="AA317" s="27" t="str">
        <f t="shared" si="167"/>
        <v>Eelektross</v>
      </c>
      <c r="AB317" s="25"/>
      <c r="AC317" s="27" t="s">
        <v>910</v>
      </c>
      <c r="AD317" s="8" t="str">
        <f>VLOOKUP(AC317,moves!A:B,2,FALSE)</f>
        <v>electric</v>
      </c>
      <c r="AE317" s="8">
        <f>VLOOKUP(AC317,moves!A:D,4,FALSE)</f>
        <v>2</v>
      </c>
      <c r="AF317" s="8" t="str">
        <f>VLOOKUP(AC317,moves!A:E,5,FALSE)</f>
        <v>Inflict both the Paralysed and Poisoned statuses on the target simultaneously.</v>
      </c>
      <c r="AG317" s="27">
        <v>0</v>
      </c>
      <c r="AH317" s="27">
        <v>0</v>
      </c>
      <c r="AI317" s="27" t="str" cm="1">
        <f t="array" ref="AI317">_xlfn.IFS(AG317=1, "starter", AH317=1, "legendary",T317&lt; 13, "weak",T317&lt; 17, "moderate", TRUE, "strong")</f>
        <v>strong</v>
      </c>
      <c r="AJ317" s="26"/>
      <c r="AK317" s="27">
        <v>3</v>
      </c>
      <c r="AL317" s="8">
        <v>0</v>
      </c>
      <c r="AM317" s="8">
        <v>0</v>
      </c>
    </row>
    <row r="318" spans="1:39" s="8" customFormat="1" x14ac:dyDescent="0.25">
      <c r="A318" s="25">
        <v>605</v>
      </c>
      <c r="B318" s="25" t="s">
        <v>913</v>
      </c>
      <c r="C318" s="47" t="s">
        <v>26</v>
      </c>
      <c r="D318" s="47"/>
      <c r="E318" s="25">
        <v>55</v>
      </c>
      <c r="F318" s="25">
        <v>55</v>
      </c>
      <c r="G318" s="25">
        <v>55</v>
      </c>
      <c r="H318" s="25">
        <v>85</v>
      </c>
      <c r="I318" s="25">
        <v>55</v>
      </c>
      <c r="J318" s="25">
        <v>30</v>
      </c>
      <c r="K318" s="25" t="s">
        <v>915</v>
      </c>
      <c r="L318" s="25"/>
      <c r="M318" s="25" t="s">
        <v>554</v>
      </c>
      <c r="N318" s="25">
        <f t="shared" si="209"/>
        <v>6</v>
      </c>
      <c r="O318" s="25">
        <f t="shared" si="210"/>
        <v>5.5</v>
      </c>
      <c r="P318" s="25">
        <v>0</v>
      </c>
      <c r="Q318" s="25">
        <v>0</v>
      </c>
      <c r="R318" s="48">
        <f t="shared" si="234"/>
        <v>6</v>
      </c>
      <c r="S318" s="48">
        <f t="shared" si="235"/>
        <v>6</v>
      </c>
      <c r="T318" s="48">
        <f t="shared" si="236"/>
        <v>12</v>
      </c>
      <c r="U318" s="25" t="str">
        <f t="shared" si="233"/>
        <v>psychic</v>
      </c>
      <c r="V318" s="9" t="s">
        <v>8</v>
      </c>
      <c r="W318" s="25" t="s">
        <v>11</v>
      </c>
      <c r="X318" s="25" t="s">
        <v>42</v>
      </c>
      <c r="Y318" s="9" t="str">
        <f t="shared" si="237"/>
        <v>Beheeyem</v>
      </c>
      <c r="Z318" s="12">
        <f t="shared" si="191"/>
        <v>6</v>
      </c>
      <c r="AA318" s="27" t="str">
        <f t="shared" si="167"/>
        <v>Elgyem</v>
      </c>
      <c r="AB318" s="25"/>
      <c r="AC318" s="27" t="s">
        <v>916</v>
      </c>
      <c r="AD318" s="8" t="str">
        <f>VLOOKUP(AC318,moves!A:B,2,FALSE)</f>
        <v>psychic</v>
      </c>
      <c r="AE318" s="8">
        <f>VLOOKUP(AC318,moves!A:D,4,FALSE)</f>
        <v>2</v>
      </c>
      <c r="AF318" s="8" t="str">
        <f>VLOOKUP(AC318,moves!A:E,5,FALSE)</f>
        <v>Until the user switches out: If the user is attacked with a move type it can learn, it deals -2 damage.</v>
      </c>
      <c r="AG318" s="27">
        <v>0</v>
      </c>
      <c r="AH318" s="27">
        <v>0</v>
      </c>
      <c r="AI318" s="27" t="str" cm="1">
        <f t="array" ref="AI318">_xlfn.IFS(AG318=1, "starter", AH318=1, "legendary",T318&lt; 13, "weak",T318&lt; 17, "moderate", TRUE, "strong")</f>
        <v>weak</v>
      </c>
      <c r="AJ318" s="26"/>
      <c r="AK318" s="27">
        <v>1</v>
      </c>
      <c r="AL318" s="27">
        <v>0</v>
      </c>
      <c r="AM318" s="8">
        <v>0</v>
      </c>
    </row>
    <row r="319" spans="1:39" s="8" customFormat="1" x14ac:dyDescent="0.25">
      <c r="A319" s="25">
        <v>606</v>
      </c>
      <c r="B319" s="25" t="s">
        <v>914</v>
      </c>
      <c r="C319" s="47" t="s">
        <v>26</v>
      </c>
      <c r="D319" s="47"/>
      <c r="E319" s="25">
        <v>75</v>
      </c>
      <c r="F319" s="25">
        <v>75</v>
      </c>
      <c r="G319" s="25">
        <v>75</v>
      </c>
      <c r="H319" s="25">
        <v>125</v>
      </c>
      <c r="I319" s="25">
        <v>95</v>
      </c>
      <c r="J319" s="25">
        <v>40</v>
      </c>
      <c r="K319" s="25" t="s">
        <v>915</v>
      </c>
      <c r="L319" s="25"/>
      <c r="M319" s="25" t="s">
        <v>554</v>
      </c>
      <c r="N319" s="25">
        <f t="shared" si="209"/>
        <v>8.6</v>
      </c>
      <c r="O319" s="25">
        <f t="shared" si="210"/>
        <v>8.1</v>
      </c>
      <c r="P319" s="25">
        <v>0</v>
      </c>
      <c r="Q319" s="25">
        <v>0</v>
      </c>
      <c r="R319" s="48">
        <f t="shared" si="234"/>
        <v>9</v>
      </c>
      <c r="S319" s="48">
        <f t="shared" si="235"/>
        <v>8</v>
      </c>
      <c r="T319" s="48">
        <f t="shared" si="236"/>
        <v>17</v>
      </c>
      <c r="U319" s="25" t="str">
        <f t="shared" si="233"/>
        <v>psychic</v>
      </c>
      <c r="V319" s="9" t="s">
        <v>8</v>
      </c>
      <c r="W319" s="25" t="s">
        <v>11</v>
      </c>
      <c r="X319" s="25" t="s">
        <v>42</v>
      </c>
      <c r="Y319" s="9"/>
      <c r="Z319" s="12" t="str">
        <f t="shared" si="191"/>
        <v/>
      </c>
      <c r="AA319" s="27" t="str">
        <f t="shared" si="167"/>
        <v>Beheeyem</v>
      </c>
      <c r="AB319" s="25"/>
      <c r="AC319" s="27" t="s">
        <v>917</v>
      </c>
      <c r="AD319" s="8" t="str">
        <f>VLOOKUP(AC319,moves!A:B,2,FALSE)</f>
        <v>psychic</v>
      </c>
      <c r="AE319" s="8">
        <f>VLOOKUP(AC319,moves!A:D,4,FALSE)</f>
        <v>7</v>
      </c>
      <c r="AF319" s="8" t="str">
        <f>VLOOKUP(AC319,moves!A:E,5,FALSE)</f>
        <v>Will there be more, less or an equal amount of critical hits rolled than status symbols? If incorrect, deal -3 damage.</v>
      </c>
      <c r="AG319" s="27">
        <v>0</v>
      </c>
      <c r="AH319" s="27">
        <v>0</v>
      </c>
      <c r="AI319" s="27" t="str" cm="1">
        <f t="array" ref="AI319">_xlfn.IFS(AG319=1, "starter", AH319=1, "legendary",T319&lt; 13, "weak",T319&lt; 17, "moderate", TRUE, "strong")</f>
        <v>strong</v>
      </c>
      <c r="AJ319" s="26"/>
      <c r="AK319" s="27">
        <v>2</v>
      </c>
      <c r="AL319" s="27">
        <v>0</v>
      </c>
      <c r="AM319" s="8">
        <v>0</v>
      </c>
    </row>
    <row r="320" spans="1:39" s="8" customFormat="1" x14ac:dyDescent="0.25">
      <c r="A320" s="25">
        <v>755</v>
      </c>
      <c r="B320" s="25" t="s">
        <v>919</v>
      </c>
      <c r="C320" s="47" t="s">
        <v>2</v>
      </c>
      <c r="D320" s="47" t="s">
        <v>16</v>
      </c>
      <c r="E320" s="25">
        <v>40</v>
      </c>
      <c r="F320" s="25">
        <v>35</v>
      </c>
      <c r="G320" s="25">
        <v>55</v>
      </c>
      <c r="H320" s="25">
        <v>65</v>
      </c>
      <c r="I320" s="25">
        <v>75</v>
      </c>
      <c r="J320" s="25">
        <v>15</v>
      </c>
      <c r="K320" s="25" t="s">
        <v>920</v>
      </c>
      <c r="L320" s="25" t="s">
        <v>298</v>
      </c>
      <c r="M320" s="25" t="s">
        <v>299</v>
      </c>
      <c r="N320" s="25">
        <f t="shared" si="209"/>
        <v>4.2</v>
      </c>
      <c r="O320" s="25">
        <f t="shared" si="210"/>
        <v>5.5</v>
      </c>
      <c r="P320" s="25">
        <v>0</v>
      </c>
      <c r="Q320" s="25">
        <v>0</v>
      </c>
      <c r="R320" s="48">
        <f t="shared" si="234"/>
        <v>4</v>
      </c>
      <c r="S320" s="48">
        <f t="shared" si="235"/>
        <v>6</v>
      </c>
      <c r="T320" s="48">
        <f t="shared" si="236"/>
        <v>10</v>
      </c>
      <c r="U320" s="29" t="str">
        <f t="shared" si="168"/>
        <v>grass</v>
      </c>
      <c r="V320" s="9" t="str">
        <f t="shared" ref="V320:V328" si="238">IF(D320 = 0, "", D320)</f>
        <v>fairy</v>
      </c>
      <c r="W320" s="25" t="s">
        <v>26</v>
      </c>
      <c r="X320" s="25" t="s">
        <v>42</v>
      </c>
      <c r="Y320" s="9" t="str">
        <f t="shared" si="237"/>
        <v>Shiinotic</v>
      </c>
      <c r="Z320" s="12">
        <f t="shared" si="191"/>
        <v>4</v>
      </c>
      <c r="AA320" s="27" t="str">
        <f t="shared" si="167"/>
        <v>Morelull</v>
      </c>
      <c r="AB320" s="25"/>
      <c r="AC320" s="27" t="s">
        <v>809</v>
      </c>
      <c r="AD320" s="8" t="str">
        <f>VLOOKUP(AC320,moves!A:B,2,FALSE)</f>
        <v>grass</v>
      </c>
      <c r="AE320" s="8">
        <f>VLOOKUP(AC320,moves!A:D,4,FALSE)</f>
        <v>2</v>
      </c>
      <c r="AF320" s="8" t="str">
        <f>VLOOKUP(AC320,moves!A:E,5,FALSE)</f>
        <v>Inflict the Drowsy status on the target.</v>
      </c>
      <c r="AG320" s="27">
        <v>0</v>
      </c>
      <c r="AH320" s="27">
        <v>0</v>
      </c>
      <c r="AI320" s="27" t="str" cm="1">
        <f t="array" ref="AI320">_xlfn.IFS(AG320=1, "starter", AH320=1, "legendary",T320&lt; 13, "weak",T320&lt; 17, "moderate", TRUE, "strong")</f>
        <v>weak</v>
      </c>
      <c r="AJ320" s="26"/>
      <c r="AK320" s="27">
        <v>1</v>
      </c>
      <c r="AL320" s="27">
        <v>0</v>
      </c>
      <c r="AM320" s="8">
        <v>0</v>
      </c>
    </row>
    <row r="321" spans="1:39" s="8" customFormat="1" x14ac:dyDescent="0.25">
      <c r="A321" s="25">
        <v>756</v>
      </c>
      <c r="B321" s="25" t="s">
        <v>921</v>
      </c>
      <c r="C321" s="47" t="s">
        <v>2</v>
      </c>
      <c r="D321" s="47" t="s">
        <v>16</v>
      </c>
      <c r="E321" s="25">
        <v>60</v>
      </c>
      <c r="F321" s="25">
        <v>45</v>
      </c>
      <c r="G321" s="25">
        <v>80</v>
      </c>
      <c r="H321" s="25">
        <v>90</v>
      </c>
      <c r="I321" s="25">
        <v>100</v>
      </c>
      <c r="J321" s="25">
        <v>30</v>
      </c>
      <c r="K321" s="25" t="s">
        <v>920</v>
      </c>
      <c r="L321" s="25" t="s">
        <v>298</v>
      </c>
      <c r="M321" s="25" t="s">
        <v>299</v>
      </c>
      <c r="N321" s="25">
        <f t="shared" si="209"/>
        <v>6.15</v>
      </c>
      <c r="O321" s="25">
        <f t="shared" si="210"/>
        <v>7.8</v>
      </c>
      <c r="P321" s="25">
        <v>0</v>
      </c>
      <c r="Q321" s="25">
        <v>0</v>
      </c>
      <c r="R321" s="48">
        <f t="shared" si="234"/>
        <v>6</v>
      </c>
      <c r="S321" s="48">
        <f t="shared" si="235"/>
        <v>8</v>
      </c>
      <c r="T321" s="48">
        <f t="shared" si="236"/>
        <v>14</v>
      </c>
      <c r="U321" s="29" t="str">
        <f t="shared" si="168"/>
        <v>grass</v>
      </c>
      <c r="V321" s="9" t="str">
        <f t="shared" si="238"/>
        <v>fairy</v>
      </c>
      <c r="W321" s="25" t="s">
        <v>26</v>
      </c>
      <c r="X321" s="25" t="s">
        <v>42</v>
      </c>
      <c r="Y321" s="9"/>
      <c r="Z321" s="12"/>
      <c r="AA321" s="27" t="str">
        <f t="shared" si="167"/>
        <v>Shiinotic</v>
      </c>
      <c r="AB321" s="25"/>
      <c r="AC321" s="27" t="s">
        <v>922</v>
      </c>
      <c r="AD321" s="8" t="str">
        <f>VLOOKUP(AC321,moves!A:B,2,FALSE)</f>
        <v>fairy</v>
      </c>
      <c r="AE321" s="8">
        <f>VLOOKUP(AC321,moves!A:D,4,FALSE)</f>
        <v>2</v>
      </c>
      <c r="AF321" s="8" t="str">
        <f>VLOOKUP(AC321,moves!A:E,5,FALSE)</f>
        <v>Until the user switches out: The user now heals 2 damage at the end of their turns.</v>
      </c>
      <c r="AG321" s="27">
        <v>0</v>
      </c>
      <c r="AH321" s="27">
        <v>0</v>
      </c>
      <c r="AI321" s="27" t="str" cm="1">
        <f t="array" ref="AI321">_xlfn.IFS(AG321=1, "starter", AH321=1, "legendary",T321&lt; 13, "weak",T321&lt; 17, "moderate", TRUE, "strong")</f>
        <v>moderate</v>
      </c>
      <c r="AJ321" s="26"/>
      <c r="AK321" s="27">
        <v>2</v>
      </c>
      <c r="AL321" s="27">
        <v>0</v>
      </c>
      <c r="AM321" s="8">
        <v>0</v>
      </c>
    </row>
    <row r="322" spans="1:39" s="8" customFormat="1" x14ac:dyDescent="0.25">
      <c r="A322" s="25">
        <v>679</v>
      </c>
      <c r="B322" s="25" t="s">
        <v>1269</v>
      </c>
      <c r="C322" s="47" t="s">
        <v>39</v>
      </c>
      <c r="D322" s="47" t="s">
        <v>42</v>
      </c>
      <c r="E322" s="25">
        <v>45</v>
      </c>
      <c r="F322" s="25">
        <v>80</v>
      </c>
      <c r="G322" s="25">
        <v>100</v>
      </c>
      <c r="H322" s="25">
        <v>35</v>
      </c>
      <c r="I322" s="25">
        <v>37</v>
      </c>
      <c r="J322" s="25">
        <v>28</v>
      </c>
      <c r="K322" s="25" t="s">
        <v>1270</v>
      </c>
      <c r="L322" s="25" t="s">
        <v>304</v>
      </c>
      <c r="M322" s="25" t="s">
        <v>299</v>
      </c>
      <c r="N322" s="25">
        <f t="shared" si="209"/>
        <v>5.4700000000000006</v>
      </c>
      <c r="O322" s="25">
        <f t="shared" si="210"/>
        <v>5.91</v>
      </c>
      <c r="P322" s="25">
        <v>0</v>
      </c>
      <c r="Q322" s="25">
        <v>0</v>
      </c>
      <c r="R322" s="48">
        <f t="shared" ref="R322" si="239">ROUND(N322,0)+P322</f>
        <v>5</v>
      </c>
      <c r="S322" s="48">
        <f t="shared" ref="S322" si="240">ROUND(O322,0)+Q322</f>
        <v>6</v>
      </c>
      <c r="T322" s="48">
        <f t="shared" ref="T322" si="241">SUM(ROUND(R322,0),ROUND(S322,0))</f>
        <v>11</v>
      </c>
      <c r="U322" s="25" t="str">
        <f t="shared" si="168"/>
        <v>steel</v>
      </c>
      <c r="V322" s="9" t="str">
        <f t="shared" si="238"/>
        <v>ghost</v>
      </c>
      <c r="W322" s="25" t="s">
        <v>22</v>
      </c>
      <c r="X322" s="25" t="s">
        <v>9</v>
      </c>
      <c r="Y322" s="9" t="str">
        <f t="shared" ref="Y322:Y323" si="242">B323</f>
        <v>Doublade</v>
      </c>
      <c r="Z322" s="12">
        <f t="shared" ref="Z322:Z323" si="243">IF(ISBLANK(Y322), "", ROUND(( (T323-6)*(T323-7) - (T322-6)*(T322-7) )/15, 0) + 1)</f>
        <v>4</v>
      </c>
      <c r="AA322" s="27" t="str">
        <f t="shared" si="167"/>
        <v>Honedge</v>
      </c>
      <c r="AB322" s="25"/>
      <c r="AC322" s="27" t="s">
        <v>895</v>
      </c>
      <c r="AD322" s="8" t="str">
        <f>VLOOKUP(AC322,moves!A:B,2,FALSE)</f>
        <v>ghost</v>
      </c>
      <c r="AE322" s="8">
        <f>VLOOKUP(AC322,moves!A:D,4,FALSE)</f>
        <v>2</v>
      </c>
      <c r="AF322" s="8" t="str">
        <f>VLOOKUP(AC322,moves!A:E,5,FALSE)</f>
        <v>Effect may be used once until the user switches out: Use another move this turn.</v>
      </c>
      <c r="AG322" s="27">
        <v>0</v>
      </c>
      <c r="AH322" s="27">
        <v>0</v>
      </c>
      <c r="AI322" s="27" t="str" cm="1">
        <f t="array" ref="AI322">_xlfn.IFS(AG322=1, "starter", AH322=1, "legendary",T322&lt; 13, "weak",T322&lt; 17, "moderate", TRUE, "strong")</f>
        <v>weak</v>
      </c>
      <c r="AJ322" s="59"/>
      <c r="AK322" s="27">
        <v>1</v>
      </c>
      <c r="AL322" s="27">
        <v>0</v>
      </c>
      <c r="AM322" s="8">
        <v>0</v>
      </c>
    </row>
    <row r="323" spans="1:39" s="8" customFormat="1" x14ac:dyDescent="0.25">
      <c r="A323" s="25">
        <v>680</v>
      </c>
      <c r="B323" s="25" t="s">
        <v>1271</v>
      </c>
      <c r="C323" s="47" t="s">
        <v>39</v>
      </c>
      <c r="D323" s="47" t="s">
        <v>42</v>
      </c>
      <c r="E323" s="25">
        <v>59</v>
      </c>
      <c r="F323" s="25">
        <v>110</v>
      </c>
      <c r="G323" s="25">
        <v>150</v>
      </c>
      <c r="H323" s="25">
        <v>45</v>
      </c>
      <c r="I323" s="25">
        <v>49</v>
      </c>
      <c r="J323" s="25">
        <v>35</v>
      </c>
      <c r="K323" s="25" t="s">
        <v>1270</v>
      </c>
      <c r="L323" s="25" t="s">
        <v>304</v>
      </c>
      <c r="M323" s="25" t="s">
        <v>299</v>
      </c>
      <c r="N323" s="25">
        <f t="shared" ref="N323" si="244">(0.4*J323 + 0.5*MAX(F323,H323) + 0.1*MIN(F323,H323)) / 10</f>
        <v>7.35</v>
      </c>
      <c r="O323" s="25">
        <f t="shared" ref="O323" si="245">(0.4*E323 + 0.3*G323 + 0.3*I323) / 10</f>
        <v>8.33</v>
      </c>
      <c r="P323" s="25">
        <v>0</v>
      </c>
      <c r="Q323" s="25">
        <v>0</v>
      </c>
      <c r="R323" s="48">
        <f t="shared" ref="R323" si="246">ROUND(N323,0)+P323</f>
        <v>7</v>
      </c>
      <c r="S323" s="48">
        <f t="shared" ref="S323" si="247">ROUND(O323,0)+Q323</f>
        <v>8</v>
      </c>
      <c r="T323" s="48">
        <f t="shared" ref="T323" si="248">SUM(ROUND(R323,0),ROUND(S323,0))</f>
        <v>15</v>
      </c>
      <c r="U323" s="25" t="str">
        <f t="shared" ref="U323" si="249">C323</f>
        <v>steel</v>
      </c>
      <c r="V323" s="9" t="str">
        <f t="shared" si="238"/>
        <v>ghost</v>
      </c>
      <c r="W323" s="25" t="s">
        <v>22</v>
      </c>
      <c r="X323" s="25" t="s">
        <v>9</v>
      </c>
      <c r="Y323" s="9" t="str">
        <f t="shared" si="242"/>
        <v>Aegislash</v>
      </c>
      <c r="Z323" s="12">
        <f t="shared" si="243"/>
        <v>4</v>
      </c>
      <c r="AA323" s="27" t="str">
        <f t="shared" ref="AA323" si="250">B323</f>
        <v>Doublade</v>
      </c>
      <c r="AB323" s="25"/>
      <c r="AC323" s="27" t="s">
        <v>1274</v>
      </c>
      <c r="AD323" s="8" t="str">
        <f>VLOOKUP(AC323,moves!A:B,2,FALSE)</f>
        <v>fighting</v>
      </c>
      <c r="AE323" s="8">
        <f>VLOOKUP(AC323,moves!A:D,4,FALSE)</f>
        <v>4</v>
      </c>
      <c r="AF323" s="8" t="str">
        <f>VLOOKUP(AC323,moves!A:E,5,FALSE)</f>
        <v>The dice rolled by this attack cannot be removed by any effect.</v>
      </c>
      <c r="AG323" s="27">
        <v>0</v>
      </c>
      <c r="AH323" s="27">
        <v>0</v>
      </c>
      <c r="AI323" s="27" t="str" cm="1">
        <f t="array" ref="AI323">_xlfn.IFS(AG323=1, "starter", AH323=1, "legendary",T323&lt; 13, "weak",T323&lt; 17, "moderate", TRUE, "strong")</f>
        <v>moderate</v>
      </c>
      <c r="AJ323" s="59"/>
      <c r="AK323" s="27">
        <v>2</v>
      </c>
      <c r="AL323" s="27">
        <v>0</v>
      </c>
      <c r="AM323" s="8">
        <v>0</v>
      </c>
    </row>
    <row r="324" spans="1:39" s="8" customFormat="1" x14ac:dyDescent="0.25">
      <c r="A324" s="25">
        <v>681</v>
      </c>
      <c r="B324" s="25" t="s">
        <v>1272</v>
      </c>
      <c r="C324" s="47" t="s">
        <v>39</v>
      </c>
      <c r="D324" s="47" t="s">
        <v>42</v>
      </c>
      <c r="E324" s="25">
        <v>60</v>
      </c>
      <c r="F324" s="25">
        <v>50</v>
      </c>
      <c r="G324" s="25">
        <v>140</v>
      </c>
      <c r="H324" s="25">
        <v>50</v>
      </c>
      <c r="I324" s="25">
        <v>140</v>
      </c>
      <c r="J324" s="25">
        <v>60</v>
      </c>
      <c r="K324" s="25" t="s">
        <v>1273</v>
      </c>
      <c r="L324" s="25" t="s">
        <v>304</v>
      </c>
      <c r="M324" s="25" t="s">
        <v>299</v>
      </c>
      <c r="N324" s="25">
        <f t="shared" ref="N324" si="251">(0.4*J324 + 0.5*MAX(F324,H324) + 0.1*MIN(F324,H324)) / 10</f>
        <v>5.4</v>
      </c>
      <c r="O324" s="25">
        <f t="shared" ref="O324" si="252">(0.4*E324 + 0.3*G324 + 0.3*I324) / 10</f>
        <v>10.8</v>
      </c>
      <c r="P324" s="25">
        <v>1</v>
      </c>
      <c r="Q324" s="25">
        <v>0</v>
      </c>
      <c r="R324" s="48">
        <f t="shared" ref="R324" si="253">ROUND(N324,0)+P324</f>
        <v>6</v>
      </c>
      <c r="S324" s="48">
        <f t="shared" ref="S324" si="254">ROUND(O324,0)+Q324</f>
        <v>11</v>
      </c>
      <c r="T324" s="48">
        <f t="shared" ref="T324" si="255">SUM(ROUND(R324,0),ROUND(S324,0))</f>
        <v>17</v>
      </c>
      <c r="U324" s="25" t="str">
        <f t="shared" ref="U324" si="256">C324</f>
        <v>steel</v>
      </c>
      <c r="V324" s="9" t="str">
        <f t="shared" si="238"/>
        <v>ghost</v>
      </c>
      <c r="W324" s="25" t="s">
        <v>22</v>
      </c>
      <c r="X324" s="25" t="s">
        <v>9</v>
      </c>
      <c r="Y324" s="9"/>
      <c r="Z324" s="12"/>
      <c r="AA324" s="25" t="s">
        <v>1272</v>
      </c>
      <c r="AB324" s="25" t="s">
        <v>1326</v>
      </c>
      <c r="AC324" s="27" t="s">
        <v>1278</v>
      </c>
      <c r="AD324" s="8" t="str">
        <f>VLOOKUP(AC324,moves!A:B,2,FALSE)</f>
        <v>steel</v>
      </c>
      <c r="AE324" s="8">
        <f>VLOOKUP(AC324,moves!A:D,4,FALSE)</f>
        <v>1</v>
      </c>
      <c r="AF324" s="8" t="str">
        <f>VLOOKUP(AC324,moves!A:E,5,FALSE)</f>
        <v>When the user is next attacked, remove all regular hits from the roll. Change to Blade Form after this attack if possible.</v>
      </c>
      <c r="AG324" s="27">
        <v>0</v>
      </c>
      <c r="AH324" s="27">
        <v>0</v>
      </c>
      <c r="AI324" s="27" t="str" cm="1">
        <f t="array" ref="AI324">_xlfn.IFS(AG324=1, "starter", AH324=1, "legendary",T324&lt; 13, "weak",T324&lt; 17, "moderate", TRUE, "strong")</f>
        <v>strong</v>
      </c>
      <c r="AJ324" s="59"/>
      <c r="AK324" s="27">
        <v>3</v>
      </c>
      <c r="AL324" s="27">
        <v>0</v>
      </c>
      <c r="AM324" s="8">
        <v>1</v>
      </c>
    </row>
    <row r="325" spans="1:39" s="8" customFormat="1" x14ac:dyDescent="0.25">
      <c r="A325" s="25" t="s">
        <v>1275</v>
      </c>
      <c r="B325" s="25" t="s">
        <v>1272</v>
      </c>
      <c r="C325" s="47" t="s">
        <v>39</v>
      </c>
      <c r="D325" s="47" t="s">
        <v>42</v>
      </c>
      <c r="E325" s="25">
        <v>60</v>
      </c>
      <c r="F325" s="25">
        <v>140</v>
      </c>
      <c r="G325" s="25">
        <v>50</v>
      </c>
      <c r="H325" s="25">
        <v>140</v>
      </c>
      <c r="I325" s="25">
        <v>50</v>
      </c>
      <c r="J325" s="25">
        <v>60</v>
      </c>
      <c r="K325" s="25" t="s">
        <v>1273</v>
      </c>
      <c r="L325" s="25" t="s">
        <v>304</v>
      </c>
      <c r="M325" s="25" t="s">
        <v>299</v>
      </c>
      <c r="N325" s="25">
        <f t="shared" ref="N325" si="257">(0.4*J325 + 0.5*MAX(F325,H325) + 0.1*MIN(F325,H325)) / 10</f>
        <v>10.8</v>
      </c>
      <c r="O325" s="25">
        <f t="shared" ref="O325" si="258">(0.4*E325 + 0.3*G325 + 0.3*I325) / 10</f>
        <v>5.4</v>
      </c>
      <c r="P325" s="25">
        <v>0</v>
      </c>
      <c r="Q325" s="25">
        <v>1</v>
      </c>
      <c r="R325" s="48">
        <f t="shared" ref="R325" si="259">ROUND(N325,0)+P325</f>
        <v>11</v>
      </c>
      <c r="S325" s="48">
        <f t="shared" ref="S325" si="260">ROUND(O325,0)+Q325</f>
        <v>6</v>
      </c>
      <c r="T325" s="48">
        <f t="shared" ref="T325" si="261">SUM(ROUND(R325,0),ROUND(S325,0))</f>
        <v>17</v>
      </c>
      <c r="U325" s="25" t="str">
        <f t="shared" ref="U325" si="262">C325</f>
        <v>steel</v>
      </c>
      <c r="V325" s="9" t="str">
        <f t="shared" si="238"/>
        <v>ghost</v>
      </c>
      <c r="W325" s="25" t="s">
        <v>22</v>
      </c>
      <c r="X325" s="25" t="s">
        <v>9</v>
      </c>
      <c r="Y325" s="9"/>
      <c r="Z325" s="12"/>
      <c r="AA325" s="25" t="s">
        <v>1276</v>
      </c>
      <c r="AB325" s="25" t="s">
        <v>1327</v>
      </c>
      <c r="AC325" s="27" t="s">
        <v>1277</v>
      </c>
      <c r="AD325" s="8" t="str">
        <f>VLOOKUP(AC325,moves!A:B,2,FALSE)</f>
        <v>steel</v>
      </c>
      <c r="AE325" s="8">
        <f>VLOOKUP(AC325,moves!A:D,4,FALSE)</f>
        <v>5</v>
      </c>
      <c r="AF325" s="8" t="str">
        <f>VLOOKUP(AC325,moves!A:E,5,FALSE)</f>
        <v>Critical hits deal +1 damage. Change to Shield Form after this attack if possible.</v>
      </c>
      <c r="AG325" s="27">
        <v>0</v>
      </c>
      <c r="AH325" s="27">
        <v>0</v>
      </c>
      <c r="AI325" s="27" t="str" cm="1">
        <f t="array" ref="AI325">_xlfn.IFS(AG325=1, "starter", AH325=1, "legendary",T325&lt; 13, "weak",T325&lt; 17, "moderate", TRUE, "strong")</f>
        <v>strong</v>
      </c>
      <c r="AJ325" s="59"/>
      <c r="AK325" s="27">
        <v>3</v>
      </c>
      <c r="AL325" s="27">
        <v>0</v>
      </c>
      <c r="AM325" s="8">
        <v>2</v>
      </c>
    </row>
    <row r="326" spans="1:39" s="8" customFormat="1" x14ac:dyDescent="0.25">
      <c r="A326" s="25">
        <v>480</v>
      </c>
      <c r="B326" s="25" t="s">
        <v>233</v>
      </c>
      <c r="C326" s="49" t="s">
        <v>26</v>
      </c>
      <c r="D326" s="49" t="s">
        <v>14</v>
      </c>
      <c r="E326" s="25">
        <v>75</v>
      </c>
      <c r="F326" s="25">
        <v>75</v>
      </c>
      <c r="G326" s="25">
        <v>130</v>
      </c>
      <c r="H326" s="25">
        <v>75</v>
      </c>
      <c r="I326" s="25">
        <v>130</v>
      </c>
      <c r="J326" s="25">
        <v>95</v>
      </c>
      <c r="K326" s="25" t="s">
        <v>608</v>
      </c>
      <c r="L326" s="25" t="s">
        <v>313</v>
      </c>
      <c r="M326" s="25" t="s">
        <v>299</v>
      </c>
      <c r="N326" s="29">
        <f t="shared" si="209"/>
        <v>8.3000000000000007</v>
      </c>
      <c r="O326" s="29">
        <f t="shared" si="210"/>
        <v>10.8</v>
      </c>
      <c r="P326" s="29">
        <v>0</v>
      </c>
      <c r="Q326" s="29">
        <v>0</v>
      </c>
      <c r="R326" s="48">
        <f t="shared" ref="R326:S329" si="263">ROUND(N326,0)+P326</f>
        <v>8</v>
      </c>
      <c r="S326" s="48">
        <f t="shared" si="263"/>
        <v>11</v>
      </c>
      <c r="T326" s="48">
        <f t="shared" si="211"/>
        <v>19</v>
      </c>
      <c r="U326" s="29" t="str">
        <f t="shared" si="168"/>
        <v>psychic</v>
      </c>
      <c r="V326" s="9" t="str">
        <f t="shared" si="238"/>
        <v>ice</v>
      </c>
      <c r="W326" s="25" t="s">
        <v>16</v>
      </c>
      <c r="X326" s="25" t="s">
        <v>8</v>
      </c>
      <c r="Y326" s="29"/>
      <c r="Z326" s="48" t="str">
        <f>IF(ISBLANK(Y326), "", ROUND(( (T327-6)*(T327-7) - (T326-6)*(T326-7) )/15, 0) + 1)</f>
        <v/>
      </c>
      <c r="AA326" s="26" t="str">
        <f t="shared" si="167"/>
        <v>Uxie</v>
      </c>
      <c r="AB326" s="29" t="s">
        <v>846</v>
      </c>
      <c r="AC326" s="26" t="s">
        <v>474</v>
      </c>
      <c r="AD326" s="8" t="str">
        <f>VLOOKUP(AC326,moves!A:B,2,FALSE)</f>
        <v>ice</v>
      </c>
      <c r="AE326" s="8">
        <f>VLOOKUP(AC326,moves!A:D,4,FALSE)</f>
        <v>5</v>
      </c>
      <c r="AF326" s="8" t="str">
        <f>VLOOKUP(AC326,moves!A:E,5,FALSE)</f>
        <v>For each status symbol rolled: Inflict the Frozen status on the target or any Pokémon in the target party.</v>
      </c>
      <c r="AG326" s="27">
        <v>0</v>
      </c>
      <c r="AH326" s="27">
        <v>1</v>
      </c>
      <c r="AI326" s="26" t="str" cm="1">
        <f t="array" ref="AI326">_xlfn.IFS(AG326=1, "starter", AH326=1, "legendary",T326&lt; 13, "weak",T326&lt; 17, "moderate", TRUE, "strong")</f>
        <v>legendary</v>
      </c>
      <c r="AJ326" s="26"/>
      <c r="AK326" s="26">
        <v>1</v>
      </c>
      <c r="AL326" s="8">
        <v>0</v>
      </c>
      <c r="AM326" s="8">
        <v>0</v>
      </c>
    </row>
    <row r="327" spans="1:39" s="8" customFormat="1" x14ac:dyDescent="0.25">
      <c r="A327" s="25">
        <v>481</v>
      </c>
      <c r="B327" s="25" t="s">
        <v>234</v>
      </c>
      <c r="C327" s="49" t="s">
        <v>26</v>
      </c>
      <c r="D327" s="49" t="s">
        <v>11</v>
      </c>
      <c r="E327" s="25">
        <v>80</v>
      </c>
      <c r="F327" s="25">
        <v>105</v>
      </c>
      <c r="G327" s="25">
        <v>105</v>
      </c>
      <c r="H327" s="25">
        <v>105</v>
      </c>
      <c r="I327" s="25">
        <v>105</v>
      </c>
      <c r="J327" s="25">
        <v>80</v>
      </c>
      <c r="K327" s="25" t="s">
        <v>420</v>
      </c>
      <c r="L327" s="25" t="s">
        <v>313</v>
      </c>
      <c r="M327" s="25" t="s">
        <v>300</v>
      </c>
      <c r="N327" s="29">
        <f t="shared" si="209"/>
        <v>9.5</v>
      </c>
      <c r="O327" s="29">
        <f t="shared" si="210"/>
        <v>9.5</v>
      </c>
      <c r="P327" s="29">
        <v>0</v>
      </c>
      <c r="Q327" s="29">
        <v>-1</v>
      </c>
      <c r="R327" s="48">
        <f t="shared" si="263"/>
        <v>10</v>
      </c>
      <c r="S327" s="48">
        <f t="shared" si="263"/>
        <v>9</v>
      </c>
      <c r="T327" s="48">
        <f t="shared" si="211"/>
        <v>19</v>
      </c>
      <c r="U327" s="29" t="str">
        <f t="shared" si="168"/>
        <v>psychic</v>
      </c>
      <c r="V327" s="9" t="str">
        <f t="shared" si="238"/>
        <v>electric</v>
      </c>
      <c r="W327" s="25" t="s">
        <v>16</v>
      </c>
      <c r="X327" s="25" t="s">
        <v>8</v>
      </c>
      <c r="Y327" s="29"/>
      <c r="Z327" s="48" t="str">
        <f>IF(ISBLANK(Y327), "", ROUND(( (T328-6)*(T328-7) - (T327-6)*(T327-7) )/15, 0) + 1)</f>
        <v/>
      </c>
      <c r="AA327" s="26" t="str">
        <f t="shared" si="167"/>
        <v>Mesprit</v>
      </c>
      <c r="AB327" s="29" t="s">
        <v>847</v>
      </c>
      <c r="AC327" s="26" t="s">
        <v>578</v>
      </c>
      <c r="AD327" s="8" t="str">
        <f>VLOOKUP(AC327,moves!A:B,2,FALSE)</f>
        <v>electric</v>
      </c>
      <c r="AE327" s="8">
        <f>VLOOKUP(AC327,moves!A:D,4,FALSE)</f>
        <v>5</v>
      </c>
      <c r="AF327" s="8" t="str">
        <f>VLOOKUP(AC327,moves!A:E,5,FALSE)</f>
        <v>For each status symbol rolled: Inflict the Paralysed status on the target or any Pokémon in the target party.</v>
      </c>
      <c r="AG327" s="27">
        <v>0</v>
      </c>
      <c r="AH327" s="27">
        <v>1</v>
      </c>
      <c r="AI327" s="26" t="str" cm="1">
        <f t="array" ref="AI327">_xlfn.IFS(AG327=1, "starter", AH327=1, "legendary",T327&lt; 13, "weak",T327&lt; 17, "moderate", TRUE, "strong")</f>
        <v>legendary</v>
      </c>
      <c r="AJ327" s="26"/>
      <c r="AK327" s="26">
        <v>1</v>
      </c>
      <c r="AL327" s="8">
        <v>0</v>
      </c>
      <c r="AM327" s="8">
        <v>0</v>
      </c>
    </row>
    <row r="328" spans="1:39" s="8" customFormat="1" x14ac:dyDescent="0.25">
      <c r="A328" s="25">
        <v>482</v>
      </c>
      <c r="B328" s="25" t="s">
        <v>235</v>
      </c>
      <c r="C328" s="49" t="s">
        <v>26</v>
      </c>
      <c r="D328" s="49" t="s">
        <v>4</v>
      </c>
      <c r="E328" s="25">
        <v>75</v>
      </c>
      <c r="F328" s="25">
        <v>125</v>
      </c>
      <c r="G328" s="25">
        <v>70</v>
      </c>
      <c r="H328" s="25">
        <v>125</v>
      </c>
      <c r="I328" s="25">
        <v>70</v>
      </c>
      <c r="J328" s="25">
        <v>115</v>
      </c>
      <c r="K328" s="25" t="s">
        <v>609</v>
      </c>
      <c r="L328" s="25" t="s">
        <v>313</v>
      </c>
      <c r="M328" s="25" t="s">
        <v>302</v>
      </c>
      <c r="N328" s="29">
        <f t="shared" si="209"/>
        <v>12.1</v>
      </c>
      <c r="O328" s="29">
        <f t="shared" si="210"/>
        <v>7.2</v>
      </c>
      <c r="P328" s="29">
        <v>0</v>
      </c>
      <c r="Q328" s="29">
        <v>0</v>
      </c>
      <c r="R328" s="48">
        <f t="shared" si="263"/>
        <v>12</v>
      </c>
      <c r="S328" s="48">
        <f t="shared" si="263"/>
        <v>7</v>
      </c>
      <c r="T328" s="48">
        <f t="shared" si="211"/>
        <v>19</v>
      </c>
      <c r="U328" s="29" t="str">
        <f t="shared" si="168"/>
        <v>psychic</v>
      </c>
      <c r="V328" s="9" t="str">
        <f t="shared" si="238"/>
        <v>fire</v>
      </c>
      <c r="W328" s="25" t="s">
        <v>16</v>
      </c>
      <c r="X328" s="25" t="s">
        <v>8</v>
      </c>
      <c r="Y328" s="29"/>
      <c r="Z328" s="48" t="str">
        <f>IF(ISBLANK(Y328), "", ROUND(( (T329-6)*(T329-7) - (T328-6)*(T328-7) )/15, 0) + 1)</f>
        <v/>
      </c>
      <c r="AA328" s="26" t="str">
        <f t="shared" si="167"/>
        <v>Azelf</v>
      </c>
      <c r="AB328" s="29" t="s">
        <v>848</v>
      </c>
      <c r="AC328" s="26" t="s">
        <v>475</v>
      </c>
      <c r="AD328" s="8" t="str">
        <f>VLOOKUP(AC328,moves!A:B,2,FALSE)</f>
        <v>fire</v>
      </c>
      <c r="AE328" s="8">
        <f>VLOOKUP(AC328,moves!A:D,4,FALSE)</f>
        <v>5</v>
      </c>
      <c r="AF328" s="8" t="str">
        <f>VLOOKUP(AC328,moves!A:E,5,FALSE)</f>
        <v>For each status symbol rolled: Inflict the Burned status on the target or any Pokémon in the target party.</v>
      </c>
      <c r="AG328" s="27">
        <v>0</v>
      </c>
      <c r="AH328" s="27">
        <v>1</v>
      </c>
      <c r="AI328" s="26" t="str" cm="1">
        <f t="array" ref="AI328">_xlfn.IFS(AG328=1, "starter", AH328=1, "legendary",T328&lt; 13, "weak",T328&lt; 17, "moderate", TRUE, "strong")</f>
        <v>legendary</v>
      </c>
      <c r="AJ328" s="26"/>
      <c r="AK328" s="26">
        <v>1</v>
      </c>
      <c r="AL328" s="8">
        <v>0</v>
      </c>
      <c r="AM328" s="8">
        <v>0</v>
      </c>
    </row>
    <row r="329" spans="1:39" s="8" customFormat="1" x14ac:dyDescent="0.25">
      <c r="A329" s="25">
        <v>773</v>
      </c>
      <c r="B329" s="25" t="s">
        <v>830</v>
      </c>
      <c r="C329" s="47" t="s">
        <v>553</v>
      </c>
      <c r="D329" s="47"/>
      <c r="E329" s="25">
        <v>95</v>
      </c>
      <c r="F329" s="25">
        <v>95</v>
      </c>
      <c r="G329" s="25">
        <v>95</v>
      </c>
      <c r="H329" s="25">
        <v>95</v>
      </c>
      <c r="I329" s="25">
        <v>95</v>
      </c>
      <c r="J329" s="25">
        <v>95</v>
      </c>
      <c r="K329" s="25" t="s">
        <v>829</v>
      </c>
      <c r="L329" s="25" t="s">
        <v>313</v>
      </c>
      <c r="M329" s="10" t="s">
        <v>554</v>
      </c>
      <c r="N329" s="25">
        <f>(0.4*J329 + 0.5*MAX(F329,H329) + 0.1*MIN(F329,H329)) / 10</f>
        <v>9.5</v>
      </c>
      <c r="O329" s="25">
        <f>(0.4*E329 + 0.3*G329 + 0.3*I329) / 10</f>
        <v>9.5</v>
      </c>
      <c r="P329" s="25">
        <v>0</v>
      </c>
      <c r="Q329" s="25">
        <v>0</v>
      </c>
      <c r="R329" s="48">
        <f t="shared" si="263"/>
        <v>10</v>
      </c>
      <c r="S329" s="48">
        <f t="shared" si="263"/>
        <v>10</v>
      </c>
      <c r="T329" s="48">
        <f t="shared" ref="T329:T336" si="264">SUM(ROUND(R329,0),ROUND(S329,0))</f>
        <v>20</v>
      </c>
      <c r="U329" s="25" t="s">
        <v>8</v>
      </c>
      <c r="V329" s="9" t="s">
        <v>11</v>
      </c>
      <c r="W329" s="9" t="s">
        <v>4</v>
      </c>
      <c r="X329" s="9" t="s">
        <v>14</v>
      </c>
      <c r="Y329" s="29"/>
      <c r="Z329" s="12" t="str">
        <f>IF(ISBLANK(Y329), "", ROUND(( (T330-6)*(T330-7) - (T329-6)*(T329-7) )/15, 0) + 1)</f>
        <v/>
      </c>
      <c r="AA329" s="27" t="str">
        <f t="shared" si="167"/>
        <v>Silvally</v>
      </c>
      <c r="AB329" s="25"/>
      <c r="AC329" s="27" t="s">
        <v>831</v>
      </c>
      <c r="AD329" s="8" t="str">
        <f>VLOOKUP(AC329,moves!A:B,2,FALSE)</f>
        <v>typeless</v>
      </c>
      <c r="AE329" s="8">
        <f>VLOOKUP(AC329,moves!A:D,4,FALSE)</f>
        <v>4</v>
      </c>
      <c r="AF329" s="8" t="str">
        <f>VLOOKUP(AC329,moves!A:E,5,FALSE)</f>
        <v>Choose any learnable type of the user as the type of this attack. Ignores the effects of Prism Armour.</v>
      </c>
      <c r="AG329" s="27">
        <v>0</v>
      </c>
      <c r="AH329" s="27">
        <v>1</v>
      </c>
      <c r="AI329" s="27" t="str" cm="1">
        <f t="array" ref="AI329">_xlfn.IFS(AG329=1, "starter", AH329=1, "legendary",T329&lt; 13, "weak",T329&lt; 17, "moderate", TRUE, "strong")</f>
        <v>legendary</v>
      </c>
      <c r="AJ329" s="26"/>
      <c r="AK329" s="27">
        <v>1</v>
      </c>
      <c r="AL329" s="8">
        <v>0</v>
      </c>
      <c r="AM329" s="8">
        <v>0</v>
      </c>
    </row>
    <row r="330" spans="1:39" s="8" customFormat="1" x14ac:dyDescent="0.25">
      <c r="A330" s="9">
        <v>793</v>
      </c>
      <c r="B330" s="10" t="s">
        <v>720</v>
      </c>
      <c r="C330" s="3" t="s">
        <v>33</v>
      </c>
      <c r="D330" s="3" t="s">
        <v>3</v>
      </c>
      <c r="E330" s="9">
        <v>109</v>
      </c>
      <c r="F330" s="9">
        <v>53</v>
      </c>
      <c r="G330" s="9">
        <v>47</v>
      </c>
      <c r="H330" s="9">
        <v>127</v>
      </c>
      <c r="I330" s="9">
        <v>131</v>
      </c>
      <c r="J330" s="9">
        <v>103</v>
      </c>
      <c r="K330" s="9" t="s">
        <v>721</v>
      </c>
      <c r="L330" s="9"/>
      <c r="M330" s="10" t="s">
        <v>554</v>
      </c>
      <c r="N330" s="9">
        <f t="shared" si="192"/>
        <v>11</v>
      </c>
      <c r="O330" s="9">
        <f t="shared" si="193"/>
        <v>9.6999999999999993</v>
      </c>
      <c r="P330" s="9">
        <f>-2+0</f>
        <v>-2</v>
      </c>
      <c r="Q330" s="9">
        <f>10-1</f>
        <v>9</v>
      </c>
      <c r="R330" s="12">
        <f t="shared" si="194"/>
        <v>9</v>
      </c>
      <c r="S330" s="12">
        <f t="shared" si="195"/>
        <v>19</v>
      </c>
      <c r="T330" s="12">
        <f t="shared" si="264"/>
        <v>28</v>
      </c>
      <c r="U330" s="9" t="str">
        <f t="shared" ref="U330:U337" si="265">C330</f>
        <v>rock</v>
      </c>
      <c r="V330" s="9" t="str">
        <f>IF(D330 = 0, "", D330)</f>
        <v>poison</v>
      </c>
      <c r="W330" s="9" t="s">
        <v>26</v>
      </c>
      <c r="X330" s="9" t="s">
        <v>11</v>
      </c>
      <c r="Y330" s="9"/>
      <c r="Z330" s="12" t="str">
        <f t="shared" si="191"/>
        <v/>
      </c>
      <c r="AA330" s="8" t="str">
        <f t="shared" ref="AA330:AA339" si="266">B330</f>
        <v>Nihilego</v>
      </c>
      <c r="AB330" s="25" t="s">
        <v>845</v>
      </c>
      <c r="AC330" s="8" t="s">
        <v>723</v>
      </c>
      <c r="AD330" s="8" t="str">
        <f>VLOOKUP(AC330,moves!A:B,2,FALSE)</f>
        <v>poison</v>
      </c>
      <c r="AE330" s="8">
        <f>VLOOKUP(AC330,moves!A:D,4,FALSE)</f>
        <v>3</v>
      </c>
      <c r="AF330" s="8" t="str">
        <f>VLOOKUP(AC330,moves!A:E,5,FALSE)</f>
        <v>Inflict both the Poisoned and Drowsy statuses on the target simultaneously.</v>
      </c>
      <c r="AG330" s="11">
        <v>0</v>
      </c>
      <c r="AH330" s="11">
        <v>0</v>
      </c>
      <c r="AI330" s="8" t="s">
        <v>852</v>
      </c>
      <c r="AK330" s="8">
        <v>1</v>
      </c>
      <c r="AL330" s="8">
        <v>1</v>
      </c>
      <c r="AM330" s="8">
        <v>0</v>
      </c>
    </row>
    <row r="331" spans="1:39" s="8" customFormat="1" x14ac:dyDescent="0.25">
      <c r="A331" s="9">
        <v>794</v>
      </c>
      <c r="B331" s="10" t="s">
        <v>724</v>
      </c>
      <c r="C331" s="3" t="s">
        <v>7</v>
      </c>
      <c r="D331" s="3" t="s">
        <v>22</v>
      </c>
      <c r="E331" s="9">
        <v>107</v>
      </c>
      <c r="F331" s="9">
        <v>139</v>
      </c>
      <c r="G331" s="9">
        <v>139</v>
      </c>
      <c r="H331" s="9">
        <v>53</v>
      </c>
      <c r="I331" s="9">
        <v>53</v>
      </c>
      <c r="J331" s="9">
        <v>79</v>
      </c>
      <c r="K331" s="9" t="s">
        <v>731</v>
      </c>
      <c r="L331" s="9"/>
      <c r="M331" s="10" t="s">
        <v>554</v>
      </c>
      <c r="N331" s="9">
        <f t="shared" si="192"/>
        <v>10.639999999999999</v>
      </c>
      <c r="O331" s="9">
        <f t="shared" si="193"/>
        <v>10.040000000000001</v>
      </c>
      <c r="P331" s="9">
        <f>-2-1</f>
        <v>-3</v>
      </c>
      <c r="Q331" s="9">
        <f>10+0</f>
        <v>10</v>
      </c>
      <c r="R331" s="12">
        <f t="shared" si="194"/>
        <v>8</v>
      </c>
      <c r="S331" s="12">
        <f t="shared" si="195"/>
        <v>20</v>
      </c>
      <c r="T331" s="12">
        <f t="shared" si="264"/>
        <v>28</v>
      </c>
      <c r="U331" s="9" t="str">
        <f t="shared" si="265"/>
        <v>bug</v>
      </c>
      <c r="V331" s="9" t="str">
        <f>IF(D331 = 0, "", D331)</f>
        <v>fighting</v>
      </c>
      <c r="W331" s="9" t="s">
        <v>13</v>
      </c>
      <c r="X331" s="9" t="s">
        <v>33</v>
      </c>
      <c r="Y331" s="9"/>
      <c r="Z331" s="12" t="str">
        <f t="shared" si="191"/>
        <v/>
      </c>
      <c r="AA331" s="8" t="str">
        <f t="shared" si="266"/>
        <v>Buzzwole</v>
      </c>
      <c r="AB331" s="25" t="s">
        <v>845</v>
      </c>
      <c r="AC331" s="8" t="s">
        <v>741</v>
      </c>
      <c r="AD331" s="8" t="str">
        <f>VLOOKUP(AC331,moves!A:B,2,FALSE)</f>
        <v>fighting</v>
      </c>
      <c r="AE331" s="8">
        <f>VLOOKUP(AC331,moves!A:D,4,FALSE)</f>
        <v>4</v>
      </c>
      <c r="AF331" s="8" t="str">
        <f>VLOOKUP(AC331,moves!A:E,5,FALSE)</f>
        <v>Critical hits deal +1 damage and for each critical hit rolled: The user heals 2 damage.</v>
      </c>
      <c r="AG331" s="11">
        <v>0</v>
      </c>
      <c r="AH331" s="11">
        <v>0</v>
      </c>
      <c r="AI331" s="8" t="s">
        <v>852</v>
      </c>
      <c r="AK331" s="8">
        <v>1</v>
      </c>
      <c r="AL331" s="8">
        <v>1</v>
      </c>
      <c r="AM331" s="8">
        <v>0</v>
      </c>
    </row>
    <row r="332" spans="1:39" s="8" customFormat="1" x14ac:dyDescent="0.25">
      <c r="A332" s="9">
        <v>795</v>
      </c>
      <c r="B332" s="10" t="s">
        <v>725</v>
      </c>
      <c r="C332" s="3" t="s">
        <v>7</v>
      </c>
      <c r="D332" s="3" t="s">
        <v>22</v>
      </c>
      <c r="E332" s="9">
        <v>71</v>
      </c>
      <c r="F332" s="9">
        <v>137</v>
      </c>
      <c r="G332" s="9">
        <v>37</v>
      </c>
      <c r="H332" s="9">
        <v>137</v>
      </c>
      <c r="I332" s="9">
        <v>37</v>
      </c>
      <c r="J332" s="9">
        <v>151</v>
      </c>
      <c r="K332" s="9" t="s">
        <v>730</v>
      </c>
      <c r="L332" s="9"/>
      <c r="M332" s="10" t="s">
        <v>554</v>
      </c>
      <c r="N332" s="9">
        <f t="shared" si="192"/>
        <v>14.26</v>
      </c>
      <c r="O332" s="9">
        <f t="shared" si="193"/>
        <v>5.0600000000000005</v>
      </c>
      <c r="P332" s="9">
        <f>-2+1</f>
        <v>-1</v>
      </c>
      <c r="Q332" s="9">
        <f>10+0</f>
        <v>10</v>
      </c>
      <c r="R332" s="12">
        <f t="shared" si="194"/>
        <v>13</v>
      </c>
      <c r="S332" s="12">
        <f t="shared" si="195"/>
        <v>15</v>
      </c>
      <c r="T332" s="12">
        <f t="shared" si="264"/>
        <v>28</v>
      </c>
      <c r="U332" s="9" t="str">
        <f t="shared" si="265"/>
        <v>bug</v>
      </c>
      <c r="V332" s="9" t="str">
        <f>IF(D332 = 0, "", D332)</f>
        <v>fighting</v>
      </c>
      <c r="W332" s="9" t="s">
        <v>5</v>
      </c>
      <c r="X332" s="9" t="s">
        <v>14</v>
      </c>
      <c r="Y332" s="9"/>
      <c r="Z332" s="12" t="str">
        <f t="shared" si="191"/>
        <v/>
      </c>
      <c r="AA332" s="8" t="str">
        <f t="shared" si="266"/>
        <v>Pheromosa</v>
      </c>
      <c r="AB332" s="25" t="s">
        <v>845</v>
      </c>
      <c r="AC332" s="8" t="s">
        <v>743</v>
      </c>
      <c r="AD332" s="8" t="str">
        <f>VLOOKUP(AC332,moves!A:B,2,FALSE)</f>
        <v>bug</v>
      </c>
      <c r="AE332" s="8">
        <f>VLOOKUP(AC332,moves!A:D,4,FALSE)</f>
        <v>3</v>
      </c>
      <c r="AF332" s="8" t="str">
        <f>VLOOKUP(AC332,moves!A:E,5,FALSE)</f>
        <v>Inflict both the Paralysed and Confused statuses on the target simultaneously.</v>
      </c>
      <c r="AG332" s="11">
        <v>0</v>
      </c>
      <c r="AH332" s="11">
        <v>0</v>
      </c>
      <c r="AI332" s="8" t="s">
        <v>852</v>
      </c>
      <c r="AK332" s="8">
        <v>1</v>
      </c>
      <c r="AL332" s="8">
        <v>1</v>
      </c>
      <c r="AM332" s="8">
        <v>0</v>
      </c>
    </row>
    <row r="333" spans="1:39" s="8" customFormat="1" x14ac:dyDescent="0.25">
      <c r="A333" s="9">
        <v>796</v>
      </c>
      <c r="B333" s="10" t="s">
        <v>726</v>
      </c>
      <c r="C333" s="3" t="s">
        <v>11</v>
      </c>
      <c r="D333" s="3"/>
      <c r="E333" s="9">
        <v>83</v>
      </c>
      <c r="F333" s="9">
        <v>83</v>
      </c>
      <c r="G333" s="9">
        <v>71</v>
      </c>
      <c r="H333" s="9">
        <v>173</v>
      </c>
      <c r="I333" s="9">
        <v>71</v>
      </c>
      <c r="J333" s="9">
        <v>83</v>
      </c>
      <c r="K333" s="9" t="s">
        <v>729</v>
      </c>
      <c r="L333" s="9"/>
      <c r="M333" s="10" t="s">
        <v>554</v>
      </c>
      <c r="N333" s="9">
        <f t="shared" si="192"/>
        <v>12.8</v>
      </c>
      <c r="O333" s="9">
        <f t="shared" si="193"/>
        <v>7.58</v>
      </c>
      <c r="P333" s="9">
        <f>-2-1</f>
        <v>-3</v>
      </c>
      <c r="Q333" s="9">
        <f>10+0</f>
        <v>10</v>
      </c>
      <c r="R333" s="12">
        <f t="shared" si="194"/>
        <v>10</v>
      </c>
      <c r="S333" s="12">
        <f t="shared" si="195"/>
        <v>18</v>
      </c>
      <c r="T333" s="12">
        <f t="shared" si="264"/>
        <v>28</v>
      </c>
      <c r="U333" s="9" t="str">
        <f t="shared" si="265"/>
        <v>electric</v>
      </c>
      <c r="V333" s="9" t="s">
        <v>2</v>
      </c>
      <c r="W333" s="9" t="s">
        <v>7</v>
      </c>
      <c r="X333" s="9" t="s">
        <v>16</v>
      </c>
      <c r="Y333" s="9"/>
      <c r="Z333" s="12" t="str">
        <f t="shared" si="191"/>
        <v/>
      </c>
      <c r="AA333" s="8" t="str">
        <f t="shared" si="266"/>
        <v>Xurkitree</v>
      </c>
      <c r="AB333" s="25" t="s">
        <v>845</v>
      </c>
      <c r="AC333" s="8" t="s">
        <v>742</v>
      </c>
      <c r="AD333" s="8" t="str">
        <f>VLOOKUP(AC333,moves!A:B,2,FALSE)</f>
        <v>electric</v>
      </c>
      <c r="AE333" s="8">
        <f>VLOOKUP(AC333,moves!A:D,4,FALSE)</f>
        <v>3</v>
      </c>
      <c r="AF333" s="8" t="str">
        <f>VLOOKUP(AC333,moves!A:E,5,FALSE)</f>
        <v>Until the user switches out: The user now heals 2 damage at the end of their turns.</v>
      </c>
      <c r="AG333" s="11">
        <v>0</v>
      </c>
      <c r="AH333" s="11">
        <v>0</v>
      </c>
      <c r="AI333" s="8" t="s">
        <v>852</v>
      </c>
      <c r="AK333" s="8">
        <v>1</v>
      </c>
      <c r="AL333" s="8">
        <v>1</v>
      </c>
      <c r="AM333" s="8">
        <v>0</v>
      </c>
    </row>
    <row r="334" spans="1:39" s="8" customFormat="1" x14ac:dyDescent="0.25">
      <c r="A334" s="9">
        <v>797</v>
      </c>
      <c r="B334" s="10" t="s">
        <v>727</v>
      </c>
      <c r="C334" s="3" t="s">
        <v>39</v>
      </c>
      <c r="D334" s="3" t="s">
        <v>5</v>
      </c>
      <c r="E334" s="9">
        <v>97</v>
      </c>
      <c r="F334" s="9">
        <v>101</v>
      </c>
      <c r="G334" s="9">
        <v>103</v>
      </c>
      <c r="H334" s="9">
        <v>107</v>
      </c>
      <c r="I334" s="9">
        <v>101</v>
      </c>
      <c r="J334" s="9">
        <v>61</v>
      </c>
      <c r="K334" s="9" t="s">
        <v>728</v>
      </c>
      <c r="L334" s="9"/>
      <c r="M334" s="10" t="s">
        <v>554</v>
      </c>
      <c r="N334" s="9">
        <f t="shared" si="192"/>
        <v>8.8000000000000007</v>
      </c>
      <c r="O334" s="9">
        <f t="shared" si="193"/>
        <v>10</v>
      </c>
      <c r="P334" s="9">
        <f>-2+0</f>
        <v>-2</v>
      </c>
      <c r="Q334" s="9">
        <f>10+1</f>
        <v>11</v>
      </c>
      <c r="R334" s="12">
        <f t="shared" si="194"/>
        <v>7</v>
      </c>
      <c r="S334" s="12">
        <f t="shared" si="195"/>
        <v>21</v>
      </c>
      <c r="T334" s="12">
        <f t="shared" si="264"/>
        <v>28</v>
      </c>
      <c r="U334" s="9" t="str">
        <f t="shared" si="265"/>
        <v>steel</v>
      </c>
      <c r="V334" s="9" t="str">
        <f>IF(D334 = 0, "", D334)</f>
        <v>flying</v>
      </c>
      <c r="W334" s="9" t="s">
        <v>2</v>
      </c>
      <c r="X334" s="9" t="s">
        <v>4</v>
      </c>
      <c r="Y334" s="9"/>
      <c r="Z334" s="12" t="str">
        <f t="shared" si="191"/>
        <v/>
      </c>
      <c r="AA334" s="8" t="str">
        <f t="shared" si="266"/>
        <v>Celesteela</v>
      </c>
      <c r="AB334" s="25" t="s">
        <v>845</v>
      </c>
      <c r="AC334" s="8" t="s">
        <v>744</v>
      </c>
      <c r="AD334" s="8" t="str">
        <f>VLOOKUP(AC334,moves!A:B,2,FALSE)</f>
        <v>steel</v>
      </c>
      <c r="AE334" s="8">
        <f>VLOOKUP(AC334,moves!A:D,4,FALSE)</f>
        <v>3</v>
      </c>
      <c r="AF334" s="8" t="str">
        <f>VLOOKUP(AC334,moves!A:E,5,FALSE)</f>
        <v>Inflict the Burned status on the target. If this move was used last turn, attack strength is increased to 5.</v>
      </c>
      <c r="AG334" s="11">
        <v>0</v>
      </c>
      <c r="AH334" s="11">
        <v>0</v>
      </c>
      <c r="AI334" s="8" t="s">
        <v>852</v>
      </c>
      <c r="AK334" s="8">
        <v>1</v>
      </c>
      <c r="AL334" s="8">
        <v>1</v>
      </c>
      <c r="AM334" s="8">
        <v>0</v>
      </c>
    </row>
    <row r="335" spans="1:39" s="8" customFormat="1" x14ac:dyDescent="0.25">
      <c r="A335" s="9">
        <v>798</v>
      </c>
      <c r="B335" s="10" t="s">
        <v>732</v>
      </c>
      <c r="C335" s="3" t="s">
        <v>2</v>
      </c>
      <c r="D335" s="3" t="s">
        <v>39</v>
      </c>
      <c r="E335" s="9">
        <v>59</v>
      </c>
      <c r="F335" s="9">
        <v>181</v>
      </c>
      <c r="G335" s="9">
        <v>131</v>
      </c>
      <c r="H335" s="9">
        <v>59</v>
      </c>
      <c r="I335" s="9">
        <v>31</v>
      </c>
      <c r="J335" s="9">
        <v>109</v>
      </c>
      <c r="K335" s="9" t="s">
        <v>733</v>
      </c>
      <c r="L335" s="9"/>
      <c r="M335" s="10" t="s">
        <v>554</v>
      </c>
      <c r="N335" s="9">
        <f t="shared" si="192"/>
        <v>14</v>
      </c>
      <c r="O335" s="9">
        <f t="shared" si="193"/>
        <v>7.2200000000000006</v>
      </c>
      <c r="P335" s="9">
        <f>-2+0</f>
        <v>-2</v>
      </c>
      <c r="Q335" s="9">
        <f>10-1</f>
        <v>9</v>
      </c>
      <c r="R335" s="12">
        <f t="shared" si="194"/>
        <v>12</v>
      </c>
      <c r="S335" s="12">
        <f t="shared" si="195"/>
        <v>16</v>
      </c>
      <c r="T335" s="12">
        <f t="shared" si="264"/>
        <v>28</v>
      </c>
      <c r="U335" s="9" t="str">
        <f t="shared" si="265"/>
        <v>grass</v>
      </c>
      <c r="V335" s="9" t="str">
        <f>IF(D335 = 0, "", D335)</f>
        <v>steel</v>
      </c>
      <c r="W335" s="9" t="s">
        <v>22</v>
      </c>
      <c r="X335" s="9" t="s">
        <v>5</v>
      </c>
      <c r="Y335" s="9"/>
      <c r="Z335" s="12" t="str">
        <f t="shared" si="191"/>
        <v/>
      </c>
      <c r="AA335" s="8" t="str">
        <f t="shared" si="266"/>
        <v>Kartana</v>
      </c>
      <c r="AB335" s="25" t="s">
        <v>845</v>
      </c>
      <c r="AC335" s="8" t="s">
        <v>745</v>
      </c>
      <c r="AD335" s="8" t="str">
        <f>VLOOKUP(AC335,moves!A:B,2,FALSE)</f>
        <v>grass</v>
      </c>
      <c r="AE335" s="8">
        <f>VLOOKUP(AC335,moves!A:D,4,FALSE)</f>
        <v>4</v>
      </c>
      <c r="AF335" s="8" t="str">
        <f>VLOOKUP(AC335,moves!A:E,5,FALSE)</f>
        <v>If the target faints, any remaining damage from this attack is applied to the next Pokémon switched in.</v>
      </c>
      <c r="AG335" s="11">
        <v>0</v>
      </c>
      <c r="AH335" s="11">
        <v>0</v>
      </c>
      <c r="AI335" s="8" t="s">
        <v>852</v>
      </c>
      <c r="AK335" s="8">
        <v>1</v>
      </c>
      <c r="AL335" s="8">
        <v>1</v>
      </c>
      <c r="AM335" s="8">
        <v>0</v>
      </c>
    </row>
    <row r="336" spans="1:39" s="8" customFormat="1" x14ac:dyDescent="0.25">
      <c r="A336" s="9">
        <v>799</v>
      </c>
      <c r="B336" s="10" t="s">
        <v>735</v>
      </c>
      <c r="C336" s="3" t="s">
        <v>9</v>
      </c>
      <c r="D336" s="3" t="s">
        <v>67</v>
      </c>
      <c r="E336" s="9">
        <v>223</v>
      </c>
      <c r="F336" s="9">
        <v>101</v>
      </c>
      <c r="G336" s="9">
        <v>53</v>
      </c>
      <c r="H336" s="9">
        <v>97</v>
      </c>
      <c r="I336" s="9">
        <v>53</v>
      </c>
      <c r="J336" s="9">
        <v>43</v>
      </c>
      <c r="K336" s="9" t="s">
        <v>734</v>
      </c>
      <c r="L336" s="9"/>
      <c r="M336" s="10" t="s">
        <v>554</v>
      </c>
      <c r="N336" s="9">
        <f t="shared" si="192"/>
        <v>7.74</v>
      </c>
      <c r="O336" s="9">
        <f t="shared" si="193"/>
        <v>12.1</v>
      </c>
      <c r="P336" s="9">
        <f>-2-1</f>
        <v>-3</v>
      </c>
      <c r="Q336" s="9">
        <f>10+1</f>
        <v>11</v>
      </c>
      <c r="R336" s="12">
        <f t="shared" si="194"/>
        <v>5</v>
      </c>
      <c r="S336" s="12">
        <f t="shared" si="195"/>
        <v>23</v>
      </c>
      <c r="T336" s="12">
        <f t="shared" si="264"/>
        <v>28</v>
      </c>
      <c r="U336" s="9" t="str">
        <f t="shared" si="265"/>
        <v>dark</v>
      </c>
      <c r="V336" s="9" t="str">
        <f>IF(D336 = 0, "", D336)</f>
        <v>dragon</v>
      </c>
      <c r="W336" s="9" t="s">
        <v>39</v>
      </c>
      <c r="X336" s="9" t="s">
        <v>13</v>
      </c>
      <c r="Y336" s="9"/>
      <c r="Z336" s="12" t="str">
        <f t="shared" si="191"/>
        <v/>
      </c>
      <c r="AA336" s="8" t="str">
        <f t="shared" si="266"/>
        <v>Guzzlord</v>
      </c>
      <c r="AB336" s="25" t="s">
        <v>845</v>
      </c>
      <c r="AC336" s="8" t="s">
        <v>722</v>
      </c>
      <c r="AD336" s="8" t="str">
        <f>VLOOKUP(AC336,moves!A:B,2,FALSE)</f>
        <v>dark</v>
      </c>
      <c r="AE336" s="8">
        <f>VLOOKUP(AC336,moves!A:D,4,FALSE)</f>
        <v>5</v>
      </c>
      <c r="AF336" s="8" t="str">
        <f>VLOOKUP(AC336,moves!A:E,5,FALSE)</f>
        <v>When the target is next attacked, add a regular hit to the roll.</v>
      </c>
      <c r="AG336" s="11">
        <v>0</v>
      </c>
      <c r="AH336" s="11">
        <v>0</v>
      </c>
      <c r="AI336" s="8" t="s">
        <v>852</v>
      </c>
      <c r="AK336" s="8">
        <v>1</v>
      </c>
      <c r="AL336" s="8">
        <v>1</v>
      </c>
      <c r="AM336" s="8">
        <v>0</v>
      </c>
    </row>
    <row r="337" spans="1:39" s="8" customFormat="1" x14ac:dyDescent="0.25">
      <c r="A337" s="9">
        <v>805</v>
      </c>
      <c r="B337" s="10" t="s">
        <v>736</v>
      </c>
      <c r="C337" s="3" t="s">
        <v>33</v>
      </c>
      <c r="D337" s="3" t="s">
        <v>39</v>
      </c>
      <c r="E337" s="9">
        <v>61</v>
      </c>
      <c r="F337" s="9">
        <v>131</v>
      </c>
      <c r="G337" s="9">
        <v>211</v>
      </c>
      <c r="H337" s="9">
        <v>53</v>
      </c>
      <c r="I337" s="9">
        <v>101</v>
      </c>
      <c r="J337" s="9">
        <v>13</v>
      </c>
      <c r="K337" s="9" t="s">
        <v>738</v>
      </c>
      <c r="L337" s="9"/>
      <c r="M337" s="10" t="s">
        <v>554</v>
      </c>
      <c r="N337" s="9">
        <f t="shared" si="192"/>
        <v>7.6</v>
      </c>
      <c r="O337" s="9">
        <f t="shared" si="193"/>
        <v>11.8</v>
      </c>
      <c r="P337" s="9">
        <f>-2+0</f>
        <v>-2</v>
      </c>
      <c r="Q337" s="9">
        <f>10+0</f>
        <v>10</v>
      </c>
      <c r="R337" s="12">
        <f t="shared" si="194"/>
        <v>6</v>
      </c>
      <c r="S337" s="12">
        <f t="shared" si="195"/>
        <v>22</v>
      </c>
      <c r="T337" s="12">
        <f t="shared" ref="T337:T342" si="267">SUM(ROUND(R337,0),ROUND(S337,0))</f>
        <v>28</v>
      </c>
      <c r="U337" s="9" t="str">
        <f t="shared" si="265"/>
        <v>rock</v>
      </c>
      <c r="V337" s="9" t="str">
        <f>IF(D337 = 0, "", D337)</f>
        <v>steel</v>
      </c>
      <c r="W337" s="9" t="s">
        <v>13</v>
      </c>
      <c r="X337" s="9" t="s">
        <v>8</v>
      </c>
      <c r="Y337" s="9"/>
      <c r="Z337" s="12" t="str">
        <f t="shared" si="191"/>
        <v/>
      </c>
      <c r="AA337" s="8" t="str">
        <f t="shared" si="266"/>
        <v>Stakataka</v>
      </c>
      <c r="AB337" s="25" t="s">
        <v>845</v>
      </c>
      <c r="AC337" s="8" t="s">
        <v>746</v>
      </c>
      <c r="AD337" s="8" t="str">
        <f>VLOOKUP(AC337,moves!A:B,2,FALSE)</f>
        <v>rock</v>
      </c>
      <c r="AE337" s="8">
        <f>VLOOKUP(AC337,moves!A:D,4,FALSE)</f>
        <v>3</v>
      </c>
      <c r="AF337" s="8" t="str">
        <f>VLOOKUP(AC337,moves!A:E,5,FALSE)</f>
        <v>Until the user switches out: When the user is attacked, positive type effectiveness damage is reduced to 0.</v>
      </c>
      <c r="AG337" s="11">
        <v>0</v>
      </c>
      <c r="AH337" s="11">
        <v>0</v>
      </c>
      <c r="AI337" s="8" t="s">
        <v>852</v>
      </c>
      <c r="AK337" s="8">
        <v>1</v>
      </c>
      <c r="AL337" s="8">
        <v>1</v>
      </c>
      <c r="AM337" s="8">
        <v>0</v>
      </c>
    </row>
    <row r="338" spans="1:39" s="8" customFormat="1" x14ac:dyDescent="0.25">
      <c r="A338" s="9">
        <v>806</v>
      </c>
      <c r="B338" s="10" t="s">
        <v>737</v>
      </c>
      <c r="C338" s="3" t="s">
        <v>4</v>
      </c>
      <c r="D338" s="3" t="s">
        <v>42</v>
      </c>
      <c r="E338" s="9">
        <v>53</v>
      </c>
      <c r="F338" s="9">
        <v>127</v>
      </c>
      <c r="G338" s="9">
        <v>53</v>
      </c>
      <c r="H338" s="9">
        <v>151</v>
      </c>
      <c r="I338" s="9">
        <v>79</v>
      </c>
      <c r="J338" s="9">
        <v>107</v>
      </c>
      <c r="K338" s="9" t="s">
        <v>739</v>
      </c>
      <c r="L338" s="9"/>
      <c r="M338" s="10" t="s">
        <v>554</v>
      </c>
      <c r="N338" s="9">
        <f t="shared" si="192"/>
        <v>13.1</v>
      </c>
      <c r="O338" s="9">
        <f t="shared" si="193"/>
        <v>6.08</v>
      </c>
      <c r="P338" s="9">
        <f>-2+0</f>
        <v>-2</v>
      </c>
      <c r="Q338" s="9">
        <f>10+1</f>
        <v>11</v>
      </c>
      <c r="R338" s="12">
        <f t="shared" si="194"/>
        <v>11</v>
      </c>
      <c r="S338" s="12">
        <f t="shared" si="195"/>
        <v>17</v>
      </c>
      <c r="T338" s="12">
        <f t="shared" si="267"/>
        <v>28</v>
      </c>
      <c r="U338" s="9" t="str">
        <f t="shared" ref="U338:U342" si="268">C338</f>
        <v>fire</v>
      </c>
      <c r="V338" s="9" t="str">
        <f>IF(D338 = 0, "", D338)</f>
        <v>ghost</v>
      </c>
      <c r="W338" s="9" t="s">
        <v>9</v>
      </c>
      <c r="X338" s="9" t="s">
        <v>26</v>
      </c>
      <c r="Y338" s="9"/>
      <c r="Z338" s="12" t="str">
        <f>IF(ISBLANK(Y338), "", ROUND(( (T343-6)*(T343-7) - (T338-6)*(T338-7) )/15, 0) + 1)</f>
        <v/>
      </c>
      <c r="AA338" s="8" t="str">
        <f t="shared" si="266"/>
        <v>Blacephalon</v>
      </c>
      <c r="AB338" s="25" t="s">
        <v>845</v>
      </c>
      <c r="AC338" s="8" t="s">
        <v>740</v>
      </c>
      <c r="AD338" s="8" t="str">
        <f>VLOOKUP(AC338,moves!A:B,2,FALSE)</f>
        <v>fire</v>
      </c>
      <c r="AE338" s="8">
        <f>VLOOKUP(AC338,moves!A:D,4,FALSE)</f>
        <v>6</v>
      </c>
      <c r="AF338" s="8" t="str">
        <f>VLOOKUP(AC338,moves!A:E,5,FALSE)</f>
        <v>Critical hits deal +2 damage but for each critical hit rolled: The user takes 3 damage.</v>
      </c>
      <c r="AG338" s="11">
        <v>0</v>
      </c>
      <c r="AH338" s="11">
        <v>0</v>
      </c>
      <c r="AI338" s="8" t="s">
        <v>852</v>
      </c>
      <c r="AK338" s="8">
        <v>1</v>
      </c>
      <c r="AL338" s="8">
        <v>1</v>
      </c>
      <c r="AM338" s="8">
        <v>0</v>
      </c>
    </row>
    <row r="339" spans="1:39" s="8" customFormat="1" x14ac:dyDescent="0.25">
      <c r="A339" s="9">
        <v>800</v>
      </c>
      <c r="B339" s="10" t="s">
        <v>865</v>
      </c>
      <c r="C339" s="47" t="s">
        <v>26</v>
      </c>
      <c r="D339" s="3"/>
      <c r="E339" s="9">
        <v>97</v>
      </c>
      <c r="F339" s="9">
        <v>107</v>
      </c>
      <c r="G339" s="9">
        <v>101</v>
      </c>
      <c r="H339" s="9">
        <v>127</v>
      </c>
      <c r="I339" s="9">
        <v>89</v>
      </c>
      <c r="J339" s="9">
        <v>79</v>
      </c>
      <c r="K339" s="29" t="s">
        <v>798</v>
      </c>
      <c r="L339" s="9"/>
      <c r="M339" s="10" t="s">
        <v>554</v>
      </c>
      <c r="N339" s="9">
        <f t="shared" si="192"/>
        <v>10.58</v>
      </c>
      <c r="O339" s="9">
        <f t="shared" si="193"/>
        <v>9.58</v>
      </c>
      <c r="P339" s="9">
        <v>0</v>
      </c>
      <c r="Q339" s="9">
        <v>20</v>
      </c>
      <c r="R339" s="12">
        <f t="shared" si="194"/>
        <v>11</v>
      </c>
      <c r="S339" s="12">
        <f t="shared" si="195"/>
        <v>30</v>
      </c>
      <c r="T339" s="12">
        <f t="shared" si="267"/>
        <v>41</v>
      </c>
      <c r="U339" s="29" t="str">
        <f t="shared" si="268"/>
        <v>psychic</v>
      </c>
      <c r="V339" s="9" t="s">
        <v>4</v>
      </c>
      <c r="W339" s="9" t="s">
        <v>16</v>
      </c>
      <c r="X339" s="9" t="s">
        <v>33</v>
      </c>
      <c r="Y339" s="9"/>
      <c r="Z339" s="12"/>
      <c r="AA339" s="8" t="str">
        <f t="shared" si="266"/>
        <v>Necrozma</v>
      </c>
      <c r="AB339" s="25" t="s">
        <v>869</v>
      </c>
      <c r="AC339" s="26" t="s">
        <v>799</v>
      </c>
      <c r="AD339" s="8" t="str">
        <f>VLOOKUP(AC339,moves!A:B,2,FALSE)</f>
        <v>psychic</v>
      </c>
      <c r="AE339" s="8">
        <f>VLOOKUP(AC339,moves!A:D,4,FALSE)</f>
        <v>7</v>
      </c>
      <c r="AF339" s="8" t="str">
        <f>VLOOKUP(AC339,moves!A:E,5,FALSE)</f>
        <v>If 2+ status symbols are rolled: Deal 2 damage to all Pokémon in the target party that is not the target.</v>
      </c>
      <c r="AG339" s="11">
        <v>0</v>
      </c>
      <c r="AH339" s="11">
        <v>0</v>
      </c>
      <c r="AI339" s="8" t="s">
        <v>858</v>
      </c>
      <c r="AK339" s="8">
        <v>1</v>
      </c>
      <c r="AL339" s="8">
        <v>1</v>
      </c>
      <c r="AM339" s="8">
        <v>1</v>
      </c>
    </row>
    <row r="340" spans="1:39" s="8" customFormat="1" x14ac:dyDescent="0.25">
      <c r="A340" s="29" t="s">
        <v>868</v>
      </c>
      <c r="B340" s="10" t="s">
        <v>865</v>
      </c>
      <c r="C340" s="47" t="s">
        <v>26</v>
      </c>
      <c r="D340" s="3" t="s">
        <v>39</v>
      </c>
      <c r="E340" s="9">
        <v>97</v>
      </c>
      <c r="F340" s="9">
        <v>157</v>
      </c>
      <c r="G340" s="9">
        <v>127</v>
      </c>
      <c r="H340" s="9">
        <v>113</v>
      </c>
      <c r="I340" s="9">
        <v>109</v>
      </c>
      <c r="J340" s="9">
        <v>77</v>
      </c>
      <c r="K340" s="29" t="s">
        <v>798</v>
      </c>
      <c r="L340" s="9"/>
      <c r="M340" s="10" t="s">
        <v>554</v>
      </c>
      <c r="N340" s="9">
        <f t="shared" si="192"/>
        <v>12.059999999999999</v>
      </c>
      <c r="O340" s="9">
        <f t="shared" si="193"/>
        <v>10.959999999999999</v>
      </c>
      <c r="P340" s="9">
        <v>0</v>
      </c>
      <c r="Q340" s="9">
        <v>19</v>
      </c>
      <c r="R340" s="12">
        <f t="shared" si="194"/>
        <v>12</v>
      </c>
      <c r="S340" s="12">
        <f t="shared" si="195"/>
        <v>30</v>
      </c>
      <c r="T340" s="12">
        <f t="shared" si="267"/>
        <v>42</v>
      </c>
      <c r="U340" s="29" t="str">
        <f t="shared" si="268"/>
        <v>psychic</v>
      </c>
      <c r="V340" s="29" t="str">
        <f>IF(D340 = 0, "", D340)</f>
        <v>steel</v>
      </c>
      <c r="W340" s="9" t="s">
        <v>4</v>
      </c>
      <c r="X340" s="9" t="s">
        <v>33</v>
      </c>
      <c r="Y340" s="9"/>
      <c r="Z340" s="12"/>
      <c r="AA340" s="8" t="s">
        <v>870</v>
      </c>
      <c r="AB340" s="25" t="s">
        <v>877</v>
      </c>
      <c r="AC340" s="27" t="s">
        <v>872</v>
      </c>
      <c r="AD340" s="8" t="str">
        <f>VLOOKUP(AC340,moves!A:B,2,FALSE)</f>
        <v>steel</v>
      </c>
      <c r="AE340" s="8">
        <f>VLOOKUP(AC340,moves!A:D,4,FALSE)</f>
        <v>6</v>
      </c>
      <c r="AF340" s="8" t="str">
        <f>VLOOKUP(AC340,moves!A:E,5,FALSE)</f>
        <v>Inflict the Burned status on the target. If the target is already Burned, this move deals double damage.</v>
      </c>
      <c r="AG340" s="11">
        <v>0</v>
      </c>
      <c r="AH340" s="11">
        <v>0</v>
      </c>
      <c r="AI340" s="8" t="s">
        <v>858</v>
      </c>
      <c r="AK340" s="8">
        <v>1</v>
      </c>
      <c r="AL340" s="8">
        <v>1</v>
      </c>
      <c r="AM340" s="8">
        <v>2</v>
      </c>
    </row>
    <row r="341" spans="1:39" s="8" customFormat="1" x14ac:dyDescent="0.25">
      <c r="A341" s="29" t="s">
        <v>867</v>
      </c>
      <c r="B341" s="10" t="s">
        <v>865</v>
      </c>
      <c r="C341" s="47" t="s">
        <v>26</v>
      </c>
      <c r="D341" s="3" t="s">
        <v>42</v>
      </c>
      <c r="E341" s="9">
        <v>97</v>
      </c>
      <c r="F341" s="9">
        <v>113</v>
      </c>
      <c r="G341" s="9">
        <v>109</v>
      </c>
      <c r="H341" s="9">
        <v>157</v>
      </c>
      <c r="I341" s="9">
        <v>127</v>
      </c>
      <c r="J341" s="9">
        <v>77</v>
      </c>
      <c r="K341" s="29" t="s">
        <v>798</v>
      </c>
      <c r="L341" s="9"/>
      <c r="M341" s="10" t="s">
        <v>554</v>
      </c>
      <c r="N341" s="9">
        <f t="shared" si="192"/>
        <v>12.059999999999999</v>
      </c>
      <c r="O341" s="9">
        <f t="shared" si="193"/>
        <v>10.959999999999999</v>
      </c>
      <c r="P341" s="9">
        <v>0</v>
      </c>
      <c r="Q341" s="9">
        <v>19</v>
      </c>
      <c r="R341" s="12">
        <f t="shared" si="194"/>
        <v>12</v>
      </c>
      <c r="S341" s="12">
        <f t="shared" si="195"/>
        <v>30</v>
      </c>
      <c r="T341" s="12">
        <f t="shared" si="267"/>
        <v>42</v>
      </c>
      <c r="U341" s="29" t="str">
        <f t="shared" si="268"/>
        <v>psychic</v>
      </c>
      <c r="V341" s="29" t="str">
        <f>IF(D341 = 0, "", D341)</f>
        <v>ghost</v>
      </c>
      <c r="W341" s="9" t="s">
        <v>16</v>
      </c>
      <c r="X341" s="9" t="s">
        <v>33</v>
      </c>
      <c r="Y341" s="9"/>
      <c r="Z341" s="12"/>
      <c r="AA341" s="8" t="s">
        <v>871</v>
      </c>
      <c r="AB341" s="25" t="s">
        <v>878</v>
      </c>
      <c r="AC341" s="27" t="s">
        <v>873</v>
      </c>
      <c r="AD341" s="8" t="str">
        <f>VLOOKUP(AC341,moves!A:B,2,FALSE)</f>
        <v>ghost</v>
      </c>
      <c r="AE341" s="8">
        <f>VLOOKUP(AC341,moves!A:D,4,FALSE)</f>
        <v>6</v>
      </c>
      <c r="AF341" s="8" t="str">
        <f>VLOOKUP(AC341,moves!A:E,5,FALSE)</f>
        <v>Inflict the Frozen status on the target. If the target is already Frozen, this move deals double damage.</v>
      </c>
      <c r="AG341" s="11">
        <v>0</v>
      </c>
      <c r="AH341" s="11">
        <v>0</v>
      </c>
      <c r="AI341" s="8" t="s">
        <v>858</v>
      </c>
      <c r="AK341" s="8">
        <v>1</v>
      </c>
      <c r="AL341" s="8">
        <v>1</v>
      </c>
      <c r="AM341" s="8">
        <v>3</v>
      </c>
    </row>
    <row r="342" spans="1:39" s="8" customFormat="1" ht="15.75" thickBot="1" x14ac:dyDescent="0.3">
      <c r="A342" s="14" t="s">
        <v>866</v>
      </c>
      <c r="B342" s="15" t="s">
        <v>865</v>
      </c>
      <c r="C342" s="16" t="s">
        <v>26</v>
      </c>
      <c r="D342" s="16" t="s">
        <v>67</v>
      </c>
      <c r="E342" s="14">
        <v>97</v>
      </c>
      <c r="F342" s="14">
        <v>167</v>
      </c>
      <c r="G342" s="14">
        <v>97</v>
      </c>
      <c r="H342" s="14">
        <v>167</v>
      </c>
      <c r="I342" s="14">
        <v>97</v>
      </c>
      <c r="J342" s="14">
        <v>129</v>
      </c>
      <c r="K342" s="14" t="s">
        <v>798</v>
      </c>
      <c r="L342" s="14"/>
      <c r="M342" s="15" t="s">
        <v>554</v>
      </c>
      <c r="N342" s="14">
        <f t="shared" si="192"/>
        <v>15.179999999999998</v>
      </c>
      <c r="O342" s="14">
        <f t="shared" si="193"/>
        <v>9.6999999999999993</v>
      </c>
      <c r="P342" s="14">
        <v>0</v>
      </c>
      <c r="Q342" s="14">
        <v>20</v>
      </c>
      <c r="R342" s="17">
        <f t="shared" ref="R342" si="269">ROUND(N342,0)+P342</f>
        <v>15</v>
      </c>
      <c r="S342" s="17">
        <f t="shared" ref="S342" si="270">ROUND(O342,0)+Q342</f>
        <v>30</v>
      </c>
      <c r="T342" s="17">
        <f t="shared" si="267"/>
        <v>45</v>
      </c>
      <c r="U342" s="14" t="str">
        <f t="shared" si="268"/>
        <v>psychic</v>
      </c>
      <c r="V342" s="14" t="s">
        <v>4</v>
      </c>
      <c r="W342" s="14" t="s">
        <v>16</v>
      </c>
      <c r="X342" s="14" t="s">
        <v>33</v>
      </c>
      <c r="Y342" s="14"/>
      <c r="Z342" s="17"/>
      <c r="AA342" s="18" t="s">
        <v>857</v>
      </c>
      <c r="AB342" s="15" t="s">
        <v>879</v>
      </c>
      <c r="AC342" s="19" t="s">
        <v>874</v>
      </c>
      <c r="AD342" s="18" t="str">
        <f>VLOOKUP(AC342,moves!A:B,2,FALSE)</f>
        <v>typeless</v>
      </c>
      <c r="AE342" s="18">
        <f>VLOOKUP(AC342,moves!A:D,4,FALSE)</f>
        <v>6</v>
      </c>
      <c r="AF342" s="18" t="str">
        <f>VLOOKUP(AC342,moves!A:E,5,FALSE)</f>
        <v>If a status symbol is rolled: Transfer a status effect from the user to the target.</v>
      </c>
      <c r="AG342" s="19">
        <v>0</v>
      </c>
      <c r="AH342" s="19">
        <v>0</v>
      </c>
      <c r="AI342" s="18" t="s">
        <v>858</v>
      </c>
      <c r="AJ342" s="18"/>
      <c r="AK342" s="18">
        <v>1</v>
      </c>
      <c r="AL342" s="18">
        <v>1</v>
      </c>
      <c r="AM342" s="18">
        <v>4</v>
      </c>
    </row>
    <row r="343" spans="1:39" x14ac:dyDescent="0.25">
      <c r="A343" s="10">
        <v>41</v>
      </c>
      <c r="B343" s="10" t="s">
        <v>20</v>
      </c>
      <c r="C343" s="13" t="s">
        <v>3</v>
      </c>
      <c r="D343" s="13" t="s">
        <v>5</v>
      </c>
      <c r="E343" s="11">
        <v>40</v>
      </c>
      <c r="F343" s="11">
        <v>45</v>
      </c>
      <c r="G343" s="11">
        <v>35</v>
      </c>
      <c r="H343" s="11">
        <v>30</v>
      </c>
      <c r="I343" s="11">
        <v>40</v>
      </c>
      <c r="J343" s="11">
        <v>55</v>
      </c>
      <c r="K343" s="11" t="s">
        <v>254</v>
      </c>
      <c r="M343" s="2" t="s">
        <v>554</v>
      </c>
      <c r="N343" s="9">
        <f t="shared" si="192"/>
        <v>4.75</v>
      </c>
      <c r="O343" s="9">
        <f t="shared" si="193"/>
        <v>3.85</v>
      </c>
      <c r="P343" s="9">
        <v>0</v>
      </c>
      <c r="Q343" s="9">
        <v>2</v>
      </c>
      <c r="R343" s="12">
        <f t="shared" si="194"/>
        <v>5</v>
      </c>
      <c r="S343" s="12">
        <f t="shared" si="195"/>
        <v>6</v>
      </c>
      <c r="T343" s="12">
        <f t="shared" si="164"/>
        <v>11</v>
      </c>
      <c r="U343" s="1" t="str">
        <f>VLOOKUP(AC343,moves!A:B,2,FALSE)</f>
        <v>poison</v>
      </c>
      <c r="Z343" s="12" t="str">
        <f t="shared" si="191"/>
        <v/>
      </c>
      <c r="AA343" t="str">
        <f t="shared" si="167"/>
        <v>Zubat</v>
      </c>
      <c r="AB343" s="1" t="s">
        <v>556</v>
      </c>
      <c r="AC343" s="8" t="str">
        <f>VLOOKUP(AA343,$AA$2:$AC$342,3,FALSE)</f>
        <v>Poison Fang</v>
      </c>
      <c r="AD343" s="8" t="str">
        <f>VLOOKUP(AC343,moves!A:B,2,FALSE)</f>
        <v>poison</v>
      </c>
      <c r="AE343" s="8">
        <f>VLOOKUP(AC343,moves!A:D,4,FALSE)</f>
        <v>2</v>
      </c>
      <c r="AF343" s="8" t="str">
        <f>VLOOKUP(AC343,moves!A:E,5,FALSE)</f>
        <v>Inflict the Poisoned status on the target.</v>
      </c>
      <c r="AG343" s="6">
        <v>0</v>
      </c>
      <c r="AH343" s="6">
        <v>0</v>
      </c>
      <c r="AI343" t="s">
        <v>563</v>
      </c>
      <c r="AJ343" t="s">
        <v>469</v>
      </c>
      <c r="AK343">
        <v>1</v>
      </c>
      <c r="AL343" s="8">
        <v>1</v>
      </c>
      <c r="AM343" s="8">
        <v>0</v>
      </c>
    </row>
    <row r="344" spans="1:39" x14ac:dyDescent="0.25">
      <c r="A344" s="10">
        <v>431</v>
      </c>
      <c r="B344" s="10" t="s">
        <v>185</v>
      </c>
      <c r="C344" s="13" t="s">
        <v>8</v>
      </c>
      <c r="D344" s="13"/>
      <c r="E344" s="10">
        <v>49</v>
      </c>
      <c r="F344" s="10">
        <v>55</v>
      </c>
      <c r="G344" s="10">
        <v>42</v>
      </c>
      <c r="H344" s="10">
        <v>42</v>
      </c>
      <c r="I344" s="10">
        <v>37</v>
      </c>
      <c r="J344" s="10">
        <v>85</v>
      </c>
      <c r="K344" s="10" t="s">
        <v>358</v>
      </c>
      <c r="M344" s="2" t="s">
        <v>554</v>
      </c>
      <c r="N344" s="9">
        <f t="shared" si="192"/>
        <v>6.57</v>
      </c>
      <c r="O344" s="9">
        <f t="shared" si="193"/>
        <v>4.33</v>
      </c>
      <c r="P344" s="9">
        <v>0</v>
      </c>
      <c r="Q344" s="9">
        <v>2</v>
      </c>
      <c r="R344" s="12">
        <f t="shared" si="194"/>
        <v>7</v>
      </c>
      <c r="S344" s="12">
        <f t="shared" si="195"/>
        <v>6</v>
      </c>
      <c r="T344" s="12">
        <f t="shared" si="164"/>
        <v>13</v>
      </c>
      <c r="U344" s="1" t="str">
        <f>VLOOKUP(AC344,moves!A:B,2,FALSE)</f>
        <v>fairy</v>
      </c>
      <c r="Z344" s="12" t="str">
        <f t="shared" si="191"/>
        <v/>
      </c>
      <c r="AA344" t="str">
        <f t="shared" si="167"/>
        <v>Glameow</v>
      </c>
      <c r="AB344" s="1" t="s">
        <v>556</v>
      </c>
      <c r="AC344" s="8" t="str">
        <f>VLOOKUP(AA344,$AA$2:$AC$342,3,FALSE)</f>
        <v>Play Rough</v>
      </c>
      <c r="AD344" s="8" t="str">
        <f>VLOOKUP(AC344,moves!A:B,2,FALSE)</f>
        <v>fairy</v>
      </c>
      <c r="AE344" s="8">
        <f>VLOOKUP(AC344,moves!A:D,4,FALSE)</f>
        <v>3</v>
      </c>
      <c r="AF344" s="8" t="str">
        <f>VLOOKUP(AC344,moves!A:E,5,FALSE)</f>
        <v>When the target next attacks, remove a regular hit from the roll.</v>
      </c>
      <c r="AG344" s="6">
        <v>0</v>
      </c>
      <c r="AH344" s="6">
        <v>0</v>
      </c>
      <c r="AI344" t="s">
        <v>563</v>
      </c>
      <c r="AJ344" t="s">
        <v>469</v>
      </c>
      <c r="AK344">
        <v>1</v>
      </c>
      <c r="AL344" s="8">
        <v>1</v>
      </c>
      <c r="AM344" s="8">
        <v>0</v>
      </c>
    </row>
    <row r="345" spans="1:39" x14ac:dyDescent="0.25">
      <c r="A345" s="10">
        <v>453</v>
      </c>
      <c r="B345" s="10" t="s">
        <v>207</v>
      </c>
      <c r="C345" s="13" t="s">
        <v>3</v>
      </c>
      <c r="D345" s="13" t="s">
        <v>22</v>
      </c>
      <c r="E345" s="10">
        <v>48</v>
      </c>
      <c r="F345" s="10">
        <v>61</v>
      </c>
      <c r="G345" s="10">
        <v>40</v>
      </c>
      <c r="H345" s="10">
        <v>61</v>
      </c>
      <c r="I345" s="10">
        <v>40</v>
      </c>
      <c r="J345" s="10">
        <v>50</v>
      </c>
      <c r="K345" s="10" t="s">
        <v>385</v>
      </c>
      <c r="M345" s="2" t="s">
        <v>554</v>
      </c>
      <c r="N345" s="9">
        <f t="shared" si="192"/>
        <v>5.66</v>
      </c>
      <c r="O345" s="9">
        <f t="shared" si="193"/>
        <v>4.32</v>
      </c>
      <c r="P345" s="9">
        <v>0</v>
      </c>
      <c r="Q345" s="9">
        <v>2</v>
      </c>
      <c r="R345" s="12">
        <f t="shared" si="194"/>
        <v>6</v>
      </c>
      <c r="S345" s="12">
        <f t="shared" si="195"/>
        <v>6</v>
      </c>
      <c r="T345" s="12">
        <f t="shared" ref="T345:T373" si="271">SUM(ROUND(R345,0),ROUND(S345,0))</f>
        <v>12</v>
      </c>
      <c r="U345" s="1" t="str">
        <f>VLOOKUP(AC345,moves!A:B,2,FALSE)</f>
        <v>fighting</v>
      </c>
      <c r="Z345" s="12" t="str">
        <f t="shared" si="191"/>
        <v/>
      </c>
      <c r="AA345" t="str">
        <f t="shared" si="167"/>
        <v>Croagunk</v>
      </c>
      <c r="AB345" s="1" t="s">
        <v>556</v>
      </c>
      <c r="AC345" s="8" t="str">
        <f>VLOOKUP(AA345,$AA$2:$AC$342,3,FALSE)</f>
        <v>Revenge</v>
      </c>
      <c r="AD345" s="8" t="str">
        <f>VLOOKUP(AC345,moves!A:B,2,FALSE)</f>
        <v>fighting</v>
      </c>
      <c r="AE345" s="8">
        <f>VLOOKUP(AC345,moves!A:D,4,FALSE)</f>
        <v>2</v>
      </c>
      <c r="AF345" s="8" t="str">
        <f>VLOOKUP(AC345,moves!A:E,5,FALSE)</f>
        <v>For each fainted Pokémon in your party: Attack strength is increased by 1.</v>
      </c>
      <c r="AG345" s="6">
        <v>0</v>
      </c>
      <c r="AH345" s="6">
        <v>0</v>
      </c>
      <c r="AI345" t="s">
        <v>563</v>
      </c>
      <c r="AJ345" t="s">
        <v>470</v>
      </c>
      <c r="AK345">
        <v>1</v>
      </c>
      <c r="AL345" s="8">
        <v>1</v>
      </c>
      <c r="AM345" s="8">
        <v>0</v>
      </c>
    </row>
    <row r="346" spans="1:39" x14ac:dyDescent="0.25">
      <c r="A346" s="10">
        <v>436</v>
      </c>
      <c r="B346" s="10" t="s">
        <v>190</v>
      </c>
      <c r="C346" s="13" t="s">
        <v>26</v>
      </c>
      <c r="D346" s="13" t="s">
        <v>39</v>
      </c>
      <c r="E346" s="10">
        <v>57</v>
      </c>
      <c r="F346" s="10">
        <v>24</v>
      </c>
      <c r="G346" s="10">
        <v>86</v>
      </c>
      <c r="H346" s="10">
        <v>24</v>
      </c>
      <c r="I346" s="10">
        <v>86</v>
      </c>
      <c r="J346" s="10">
        <v>23</v>
      </c>
      <c r="K346" s="10" t="s">
        <v>363</v>
      </c>
      <c r="M346" s="2" t="s">
        <v>554</v>
      </c>
      <c r="N346" s="9">
        <f t="shared" si="192"/>
        <v>2.3600000000000003</v>
      </c>
      <c r="O346" s="9">
        <f t="shared" si="193"/>
        <v>7.44</v>
      </c>
      <c r="P346" s="9">
        <v>0</v>
      </c>
      <c r="Q346" s="9">
        <v>2</v>
      </c>
      <c r="R346" s="12">
        <f t="shared" si="194"/>
        <v>2</v>
      </c>
      <c r="S346" s="12">
        <f t="shared" si="195"/>
        <v>9</v>
      </c>
      <c r="T346" s="12">
        <f t="shared" si="271"/>
        <v>11</v>
      </c>
      <c r="U346" s="1" t="str">
        <f>VLOOKUP(AC346,moves!A:B,2,FALSE)</f>
        <v>psychic</v>
      </c>
      <c r="Z346" s="12" t="str">
        <f t="shared" si="191"/>
        <v/>
      </c>
      <c r="AA346" t="str">
        <f t="shared" si="167"/>
        <v>Bronzor</v>
      </c>
      <c r="AB346" s="1" t="s">
        <v>556</v>
      </c>
      <c r="AC346" s="8" t="str">
        <f>VLOOKUP(AA346,$AA$2:$AC$342,3,FALSE)</f>
        <v>Confusion</v>
      </c>
      <c r="AD346" s="8" t="str">
        <f>VLOOKUP(AC346,moves!A:B,2,FALSE)</f>
        <v>psychic</v>
      </c>
      <c r="AE346" s="8">
        <f>VLOOKUP(AC346,moves!A:D,4,FALSE)</f>
        <v>2</v>
      </c>
      <c r="AF346" s="8" t="str">
        <f>VLOOKUP(AC346,moves!A:E,5,FALSE)</f>
        <v>Inflict the Confused status on the target.</v>
      </c>
      <c r="AG346" s="6">
        <v>0</v>
      </c>
      <c r="AH346" s="6">
        <v>0</v>
      </c>
      <c r="AI346" t="s">
        <v>563</v>
      </c>
      <c r="AJ346" t="s">
        <v>470</v>
      </c>
      <c r="AK346">
        <v>1</v>
      </c>
      <c r="AL346" s="8">
        <v>1</v>
      </c>
      <c r="AM346" s="8">
        <v>0</v>
      </c>
    </row>
    <row r="347" spans="1:39" x14ac:dyDescent="0.25">
      <c r="A347" s="10">
        <v>434</v>
      </c>
      <c r="B347" s="10" t="s">
        <v>188</v>
      </c>
      <c r="C347" s="13" t="s">
        <v>3</v>
      </c>
      <c r="D347" s="13" t="s">
        <v>9</v>
      </c>
      <c r="E347" s="10">
        <v>63</v>
      </c>
      <c r="F347" s="10">
        <v>63</v>
      </c>
      <c r="G347" s="10">
        <v>47</v>
      </c>
      <c r="H347" s="10">
        <v>41</v>
      </c>
      <c r="I347" s="10">
        <v>41</v>
      </c>
      <c r="J347" s="10">
        <v>74</v>
      </c>
      <c r="K347" s="10" t="s">
        <v>362</v>
      </c>
      <c r="M347" s="2" t="s">
        <v>554</v>
      </c>
      <c r="N347" s="9">
        <f t="shared" si="192"/>
        <v>6.5200000000000005</v>
      </c>
      <c r="O347" s="9">
        <f t="shared" si="193"/>
        <v>5.16</v>
      </c>
      <c r="P347" s="9">
        <v>0</v>
      </c>
      <c r="Q347" s="9">
        <v>2</v>
      </c>
      <c r="R347" s="12">
        <f t="shared" si="194"/>
        <v>7</v>
      </c>
      <c r="S347" s="12">
        <f t="shared" si="195"/>
        <v>7</v>
      </c>
      <c r="T347" s="12">
        <f t="shared" si="271"/>
        <v>14</v>
      </c>
      <c r="U347" s="1" t="str">
        <f>VLOOKUP(AC347,moves!A:B,2,FALSE)</f>
        <v>dark</v>
      </c>
      <c r="Z347" s="12" t="str">
        <f t="shared" si="191"/>
        <v/>
      </c>
      <c r="AA347" t="s">
        <v>188</v>
      </c>
      <c r="AB347" s="1" t="s">
        <v>556</v>
      </c>
      <c r="AC347" s="8" t="str">
        <f>VLOOKUP(AA347,$AA$2:$AC$342,3,FALSE)</f>
        <v>Bite</v>
      </c>
      <c r="AD347" s="8" t="str">
        <f>VLOOKUP(AC347,moves!A:B,2,FALSE)</f>
        <v>dark</v>
      </c>
      <c r="AE347" s="8">
        <f>VLOOKUP(AC347,moves!A:D,4,FALSE)</f>
        <v>3</v>
      </c>
      <c r="AF347" s="8" t="str">
        <f>VLOOKUP(AC347,moves!A:E,5,FALSE)</f>
        <v>When the target is next attacked, add a regular hit to the roll.</v>
      </c>
      <c r="AG347" s="6">
        <v>0</v>
      </c>
      <c r="AH347" s="6">
        <v>0</v>
      </c>
      <c r="AI347" t="s">
        <v>563</v>
      </c>
      <c r="AJ347" t="s">
        <v>469</v>
      </c>
      <c r="AK347">
        <v>1</v>
      </c>
      <c r="AL347" s="8">
        <v>1</v>
      </c>
      <c r="AM347" s="8">
        <v>0</v>
      </c>
    </row>
    <row r="348" spans="1:39" x14ac:dyDescent="0.25">
      <c r="A348" s="10">
        <v>198</v>
      </c>
      <c r="B348" s="10" t="s">
        <v>84</v>
      </c>
      <c r="C348" s="13" t="s">
        <v>9</v>
      </c>
      <c r="D348" s="13" t="s">
        <v>5</v>
      </c>
      <c r="E348" s="10">
        <v>60</v>
      </c>
      <c r="F348" s="10">
        <v>85</v>
      </c>
      <c r="G348" s="10">
        <v>42</v>
      </c>
      <c r="H348" s="10">
        <v>85</v>
      </c>
      <c r="I348" s="10">
        <v>42</v>
      </c>
      <c r="J348" s="10">
        <v>91</v>
      </c>
      <c r="K348" s="10" t="s">
        <v>356</v>
      </c>
      <c r="M348" s="2" t="s">
        <v>554</v>
      </c>
      <c r="N348" s="9">
        <f t="shared" si="192"/>
        <v>8.74</v>
      </c>
      <c r="O348" s="9">
        <f t="shared" si="193"/>
        <v>4.92</v>
      </c>
      <c r="P348" s="9">
        <v>0</v>
      </c>
      <c r="Q348" s="9">
        <v>2</v>
      </c>
      <c r="R348" s="12">
        <f t="shared" si="194"/>
        <v>9</v>
      </c>
      <c r="S348" s="12">
        <f t="shared" si="195"/>
        <v>7</v>
      </c>
      <c r="T348" s="12">
        <f t="shared" si="271"/>
        <v>16</v>
      </c>
      <c r="U348" s="1" t="str">
        <f>VLOOKUP(AC348,moves!A:B,2,FALSE)</f>
        <v>flying</v>
      </c>
      <c r="Z348" s="12" t="str">
        <f t="shared" si="191"/>
        <v/>
      </c>
      <c r="AA348" t="str">
        <f t="shared" ref="AA348:AA369" si="272">B348</f>
        <v>Murkrow</v>
      </c>
      <c r="AB348" s="1" t="s">
        <v>556</v>
      </c>
      <c r="AC348" s="8" t="str">
        <f>VLOOKUP(AA348,$AA$2:$AC$342,3,FALSE)</f>
        <v>Wing Attack</v>
      </c>
      <c r="AD348" s="8" t="str">
        <f>VLOOKUP(AC348,moves!A:B,2,FALSE)</f>
        <v>flying</v>
      </c>
      <c r="AE348" s="8">
        <f>VLOOKUP(AC348,moves!A:D,4,FALSE)</f>
        <v>3</v>
      </c>
      <c r="AF348" s="8" t="str">
        <f>VLOOKUP(AC348,moves!A:E,5,FALSE)</f>
        <v>When the target next attacks, remove a regular hit from the roll.</v>
      </c>
      <c r="AG348" s="6">
        <v>0</v>
      </c>
      <c r="AH348" s="6">
        <v>0</v>
      </c>
      <c r="AI348" t="s">
        <v>563</v>
      </c>
      <c r="AJ348" t="s">
        <v>469</v>
      </c>
      <c r="AK348">
        <v>1</v>
      </c>
      <c r="AL348" s="8">
        <v>1</v>
      </c>
      <c r="AM348" s="8">
        <v>0</v>
      </c>
    </row>
    <row r="349" spans="1:39" x14ac:dyDescent="0.25">
      <c r="A349" s="10">
        <v>451</v>
      </c>
      <c r="B349" s="10" t="s">
        <v>205</v>
      </c>
      <c r="C349" s="13" t="s">
        <v>3</v>
      </c>
      <c r="D349" s="13" t="s">
        <v>7</v>
      </c>
      <c r="E349" s="10">
        <v>40</v>
      </c>
      <c r="F349" s="10">
        <v>50</v>
      </c>
      <c r="G349" s="10">
        <v>90</v>
      </c>
      <c r="H349" s="10">
        <v>30</v>
      </c>
      <c r="I349" s="10">
        <v>55</v>
      </c>
      <c r="J349" s="10">
        <v>65</v>
      </c>
      <c r="K349" s="10" t="s">
        <v>383</v>
      </c>
      <c r="M349" s="2" t="s">
        <v>554</v>
      </c>
      <c r="N349" s="9">
        <f t="shared" si="192"/>
        <v>5.4</v>
      </c>
      <c r="O349" s="9">
        <f t="shared" si="193"/>
        <v>5.95</v>
      </c>
      <c r="P349" s="9">
        <v>0</v>
      </c>
      <c r="Q349" s="9">
        <v>2</v>
      </c>
      <c r="R349" s="12">
        <f t="shared" si="194"/>
        <v>5</v>
      </c>
      <c r="S349" s="12">
        <f t="shared" si="195"/>
        <v>8</v>
      </c>
      <c r="T349" s="12">
        <f t="shared" si="271"/>
        <v>13</v>
      </c>
      <c r="U349" s="1" t="str">
        <f>VLOOKUP(AC349,moves!A:B,2,FALSE)</f>
        <v>bug</v>
      </c>
      <c r="Z349" s="12" t="str">
        <f t="shared" si="191"/>
        <v/>
      </c>
      <c r="AA349" t="str">
        <f t="shared" si="272"/>
        <v>Skorupi</v>
      </c>
      <c r="AB349" s="1" t="s">
        <v>556</v>
      </c>
      <c r="AC349" s="8" t="str">
        <f>VLOOKUP(AA349,$AA$2:$AC$342,3,FALSE)</f>
        <v>Bug Bite</v>
      </c>
      <c r="AD349" s="8" t="str">
        <f>VLOOKUP(AC349,moves!A:B,2,FALSE)</f>
        <v>bug</v>
      </c>
      <c r="AE349" s="8">
        <f>VLOOKUP(AC349,moves!A:D,4,FALSE)</f>
        <v>3</v>
      </c>
      <c r="AF349" s="8" t="str">
        <f>VLOOKUP(AC349,moves!A:E,5,FALSE)</f>
        <v>Consume an Apricorn from the bag of target. The target decides which one.</v>
      </c>
      <c r="AG349" s="6">
        <v>0</v>
      </c>
      <c r="AH349" s="6">
        <v>0</v>
      </c>
      <c r="AI349" t="s">
        <v>563</v>
      </c>
      <c r="AJ349" t="s">
        <v>470</v>
      </c>
      <c r="AK349">
        <v>1</v>
      </c>
      <c r="AL349" s="8">
        <v>1</v>
      </c>
      <c r="AM349" s="8">
        <v>0</v>
      </c>
    </row>
    <row r="350" spans="1:39" ht="15.75" thickBot="1" x14ac:dyDescent="0.3">
      <c r="A350" s="15">
        <v>228</v>
      </c>
      <c r="B350" s="15" t="s">
        <v>99</v>
      </c>
      <c r="C350" s="20" t="s">
        <v>9</v>
      </c>
      <c r="D350" s="20" t="s">
        <v>4</v>
      </c>
      <c r="E350" s="15">
        <v>45</v>
      </c>
      <c r="F350" s="15">
        <v>60</v>
      </c>
      <c r="G350" s="15">
        <v>30</v>
      </c>
      <c r="H350" s="15">
        <v>80</v>
      </c>
      <c r="I350" s="15">
        <v>50</v>
      </c>
      <c r="J350" s="15">
        <v>65</v>
      </c>
      <c r="K350" s="15" t="s">
        <v>430</v>
      </c>
      <c r="L350" s="14"/>
      <c r="M350" s="15" t="s">
        <v>554</v>
      </c>
      <c r="N350" s="14">
        <f t="shared" si="192"/>
        <v>7.2</v>
      </c>
      <c r="O350" s="14">
        <f t="shared" si="193"/>
        <v>4.2</v>
      </c>
      <c r="P350" s="14">
        <v>0</v>
      </c>
      <c r="Q350" s="14">
        <v>2</v>
      </c>
      <c r="R350" s="17">
        <f t="shared" si="194"/>
        <v>7</v>
      </c>
      <c r="S350" s="17">
        <f t="shared" si="195"/>
        <v>6</v>
      </c>
      <c r="T350" s="17">
        <f t="shared" si="271"/>
        <v>13</v>
      </c>
      <c r="U350" s="14" t="str">
        <f>VLOOKUP(AC350,moves!A:B,2,FALSE)</f>
        <v>dark</v>
      </c>
      <c r="V350" s="14"/>
      <c r="W350" s="14"/>
      <c r="X350" s="14"/>
      <c r="Y350" s="14"/>
      <c r="Z350" s="17" t="str">
        <f t="shared" si="191"/>
        <v/>
      </c>
      <c r="AA350" s="18" t="str">
        <f t="shared" si="272"/>
        <v>Houndour</v>
      </c>
      <c r="AB350" s="14" t="s">
        <v>556</v>
      </c>
      <c r="AC350" s="18" t="str">
        <f>VLOOKUP(AA350,$AA$2:$AC$342,3,FALSE)</f>
        <v>Bite</v>
      </c>
      <c r="AD350" s="18" t="str">
        <f>VLOOKUP(AC350,moves!A:B,2,FALSE)</f>
        <v>dark</v>
      </c>
      <c r="AE350" s="18">
        <f>VLOOKUP(AC350,moves!A:D,4,FALSE)</f>
        <v>3</v>
      </c>
      <c r="AF350" s="18" t="str">
        <f>VLOOKUP(AC350,moves!A:E,5,FALSE)</f>
        <v>When the target is next attacked, add a regular hit to the roll.</v>
      </c>
      <c r="AG350" s="19">
        <v>0</v>
      </c>
      <c r="AH350" s="19">
        <v>0</v>
      </c>
      <c r="AI350" s="18" t="s">
        <v>563</v>
      </c>
      <c r="AJ350" s="18" t="s">
        <v>470</v>
      </c>
      <c r="AK350" s="18">
        <v>1</v>
      </c>
      <c r="AL350" s="18">
        <v>1</v>
      </c>
      <c r="AM350" s="18">
        <v>0</v>
      </c>
    </row>
    <row r="351" spans="1:39" x14ac:dyDescent="0.25">
      <c r="A351" s="10">
        <v>42</v>
      </c>
      <c r="B351" s="11" t="s">
        <v>21</v>
      </c>
      <c r="C351" s="11" t="s">
        <v>3</v>
      </c>
      <c r="D351" s="11" t="s">
        <v>5</v>
      </c>
      <c r="E351" s="11">
        <v>75</v>
      </c>
      <c r="F351" s="11">
        <v>80</v>
      </c>
      <c r="G351" s="11">
        <v>70</v>
      </c>
      <c r="H351" s="11">
        <v>65</v>
      </c>
      <c r="I351" s="11">
        <v>75</v>
      </c>
      <c r="J351" s="11">
        <v>90</v>
      </c>
      <c r="K351" s="11" t="s">
        <v>254</v>
      </c>
      <c r="M351" s="2" t="s">
        <v>554</v>
      </c>
      <c r="N351" s="9">
        <f t="shared" si="192"/>
        <v>8.25</v>
      </c>
      <c r="O351" s="9">
        <f t="shared" si="193"/>
        <v>7.35</v>
      </c>
      <c r="P351" s="9">
        <v>0</v>
      </c>
      <c r="Q351" s="9">
        <v>2</v>
      </c>
      <c r="R351" s="12">
        <f t="shared" si="194"/>
        <v>8</v>
      </c>
      <c r="S351" s="12">
        <f t="shared" si="195"/>
        <v>9</v>
      </c>
      <c r="T351" s="12">
        <f t="shared" si="271"/>
        <v>17</v>
      </c>
      <c r="U351" s="1" t="str">
        <f>VLOOKUP(AC351,moves!A:B,2,FALSE)</f>
        <v>flying</v>
      </c>
      <c r="Z351" s="12" t="str">
        <f t="shared" si="191"/>
        <v/>
      </c>
      <c r="AA351" t="str">
        <f t="shared" si="272"/>
        <v>Golbat</v>
      </c>
      <c r="AB351" s="1" t="s">
        <v>557</v>
      </c>
      <c r="AC351" s="8" t="str">
        <f>VLOOKUP(AA351,$AA$2:$AC$342,3,FALSE)</f>
        <v>Air Slash</v>
      </c>
      <c r="AD351" s="8" t="str">
        <f>VLOOKUP(AC351,moves!A:B,2,FALSE)</f>
        <v>flying</v>
      </c>
      <c r="AE351" s="8">
        <f>VLOOKUP(AC351,moves!A:D,4,FALSE)</f>
        <v>4</v>
      </c>
      <c r="AF351" s="8" t="str">
        <f>VLOOKUP(AC351,moves!A:E,5,FALSE)</f>
        <v>Critical hits deal +1 damage.</v>
      </c>
      <c r="AG351" s="6">
        <v>0</v>
      </c>
      <c r="AH351" s="6">
        <v>0</v>
      </c>
      <c r="AI351" t="s">
        <v>564</v>
      </c>
      <c r="AJ351" t="s">
        <v>476</v>
      </c>
      <c r="AK351" s="6">
        <v>1</v>
      </c>
      <c r="AL351" s="8">
        <v>1</v>
      </c>
      <c r="AM351" s="8">
        <v>0</v>
      </c>
    </row>
    <row r="352" spans="1:39" x14ac:dyDescent="0.25">
      <c r="A352" s="10">
        <v>465</v>
      </c>
      <c r="B352" s="10" t="s">
        <v>219</v>
      </c>
      <c r="C352" s="13" t="s">
        <v>2</v>
      </c>
      <c r="D352" s="13"/>
      <c r="E352" s="10">
        <v>100</v>
      </c>
      <c r="F352" s="10">
        <v>100</v>
      </c>
      <c r="G352" s="10">
        <v>125</v>
      </c>
      <c r="H352" s="10">
        <v>110</v>
      </c>
      <c r="I352" s="10">
        <v>50</v>
      </c>
      <c r="J352" s="10">
        <v>50</v>
      </c>
      <c r="K352" s="10" t="s">
        <v>397</v>
      </c>
      <c r="M352" s="2" t="s">
        <v>554</v>
      </c>
      <c r="N352" s="9">
        <f t="shared" si="192"/>
        <v>8.5</v>
      </c>
      <c r="O352" s="9">
        <f t="shared" si="193"/>
        <v>9.25</v>
      </c>
      <c r="P352" s="9">
        <v>0</v>
      </c>
      <c r="Q352" s="9">
        <v>2</v>
      </c>
      <c r="R352" s="12">
        <f t="shared" si="194"/>
        <v>9</v>
      </c>
      <c r="S352" s="12">
        <f t="shared" si="195"/>
        <v>11</v>
      </c>
      <c r="T352" s="12">
        <f t="shared" si="271"/>
        <v>20</v>
      </c>
      <c r="U352" s="1" t="str">
        <f>VLOOKUP(AC352,moves!A:B,2,FALSE)</f>
        <v>grass</v>
      </c>
      <c r="Z352" s="12" t="str">
        <f t="shared" si="191"/>
        <v/>
      </c>
      <c r="AA352" t="str">
        <f t="shared" si="272"/>
        <v>Tangrowth</v>
      </c>
      <c r="AB352" s="1" t="s">
        <v>557</v>
      </c>
      <c r="AC352" s="8" t="str">
        <f>VLOOKUP(AA352,$AA$2:$AC$342,3,FALSE)</f>
        <v>Giga Drain</v>
      </c>
      <c r="AD352" s="8" t="str">
        <f>VLOOKUP(AC352,moves!A:B,2,FALSE)</f>
        <v>grass</v>
      </c>
      <c r="AE352" s="8">
        <f>VLOOKUP(AC352,moves!A:D,4,FALSE)</f>
        <v>4</v>
      </c>
      <c r="AF352" s="8" t="str">
        <f>VLOOKUP(AC352,moves!A:E,5,FALSE)</f>
        <v>The user heals for half the damage dealt, rounded down.</v>
      </c>
      <c r="AG352" s="6">
        <v>0</v>
      </c>
      <c r="AH352" s="6">
        <v>0</v>
      </c>
      <c r="AI352" t="s">
        <v>564</v>
      </c>
      <c r="AJ352" t="s">
        <v>476</v>
      </c>
      <c r="AK352" s="6">
        <v>1</v>
      </c>
      <c r="AL352" s="8">
        <v>1</v>
      </c>
      <c r="AM352" s="8">
        <v>0</v>
      </c>
    </row>
    <row r="353" spans="1:39" x14ac:dyDescent="0.25">
      <c r="A353" s="10">
        <v>435</v>
      </c>
      <c r="B353" s="10" t="s">
        <v>189</v>
      </c>
      <c r="C353" s="13" t="s">
        <v>3</v>
      </c>
      <c r="D353" s="13" t="s">
        <v>9</v>
      </c>
      <c r="E353" s="10">
        <v>103</v>
      </c>
      <c r="F353" s="10">
        <v>93</v>
      </c>
      <c r="G353" s="10">
        <v>67</v>
      </c>
      <c r="H353" s="10">
        <v>71</v>
      </c>
      <c r="I353" s="10">
        <v>61</v>
      </c>
      <c r="J353" s="10">
        <v>84</v>
      </c>
      <c r="K353" s="10" t="s">
        <v>362</v>
      </c>
      <c r="M353" s="2" t="s">
        <v>554</v>
      </c>
      <c r="N353" s="9">
        <f t="shared" si="192"/>
        <v>8.7199999999999989</v>
      </c>
      <c r="O353" s="9">
        <f t="shared" si="193"/>
        <v>7.9599999999999991</v>
      </c>
      <c r="P353" s="9">
        <v>0</v>
      </c>
      <c r="Q353" s="9">
        <v>2</v>
      </c>
      <c r="R353" s="12">
        <f t="shared" si="194"/>
        <v>9</v>
      </c>
      <c r="S353" s="12">
        <f t="shared" si="195"/>
        <v>10</v>
      </c>
      <c r="T353" s="12">
        <f t="shared" si="271"/>
        <v>19</v>
      </c>
      <c r="U353" s="1" t="str">
        <f>VLOOKUP(AC353,moves!A:B,2,FALSE)</f>
        <v>poison</v>
      </c>
      <c r="Z353" s="12" t="str">
        <f>IF(ISBLANK(Y353), "", ROUND(( (T355-6)*(T355-7) - (T353-6)*(T353-7) )/15, 0) + 1)</f>
        <v/>
      </c>
      <c r="AA353" t="str">
        <f t="shared" si="272"/>
        <v>Skuntank</v>
      </c>
      <c r="AB353" s="1" t="s">
        <v>557</v>
      </c>
      <c r="AC353" s="8" t="str">
        <f>VLOOKUP(AA353,$AA$2:$AC$342,3,FALSE)</f>
        <v>Belch</v>
      </c>
      <c r="AD353" s="8" t="str">
        <f>VLOOKUP(AC353,moves!A:B,2,FALSE)</f>
        <v>poison</v>
      </c>
      <c r="AE353" s="8">
        <f>VLOOKUP(AC353,moves!A:D,4,FALSE)</f>
        <v>6</v>
      </c>
      <c r="AF353" s="8" t="str">
        <f>VLOOKUP(AC353,moves!A:E,5,FALSE)</f>
        <v>Consume an Apricorn from the bag of user. The user decides which one.</v>
      </c>
      <c r="AG353" s="6">
        <v>0</v>
      </c>
      <c r="AH353" s="6">
        <v>0</v>
      </c>
      <c r="AI353" t="s">
        <v>564</v>
      </c>
      <c r="AJ353" t="s">
        <v>476</v>
      </c>
      <c r="AK353">
        <v>1</v>
      </c>
      <c r="AL353" s="8">
        <v>1</v>
      </c>
      <c r="AM353" s="8">
        <v>0</v>
      </c>
    </row>
    <row r="354" spans="1:39" s="8" customFormat="1" x14ac:dyDescent="0.25">
      <c r="A354" s="9">
        <v>423</v>
      </c>
      <c r="B354" s="10" t="s">
        <v>316</v>
      </c>
      <c r="C354" s="3" t="s">
        <v>6</v>
      </c>
      <c r="D354" s="3" t="s">
        <v>13</v>
      </c>
      <c r="E354" s="9">
        <v>111</v>
      </c>
      <c r="F354" s="9">
        <v>83</v>
      </c>
      <c r="G354" s="9">
        <v>68</v>
      </c>
      <c r="H354" s="9">
        <v>92</v>
      </c>
      <c r="I354" s="9">
        <v>82</v>
      </c>
      <c r="J354" s="9">
        <v>39</v>
      </c>
      <c r="K354" s="9" t="s">
        <v>349</v>
      </c>
      <c r="L354" s="9"/>
      <c r="M354" s="10" t="s">
        <v>554</v>
      </c>
      <c r="N354" s="9">
        <f t="shared" si="192"/>
        <v>6.99</v>
      </c>
      <c r="O354" s="9">
        <f t="shared" si="193"/>
        <v>8.9400000000000013</v>
      </c>
      <c r="P354" s="9">
        <v>0</v>
      </c>
      <c r="Q354" s="9">
        <v>2</v>
      </c>
      <c r="R354" s="12">
        <f t="shared" si="194"/>
        <v>7</v>
      </c>
      <c r="S354" s="12">
        <f t="shared" si="195"/>
        <v>11</v>
      </c>
      <c r="T354" s="12">
        <f t="shared" si="271"/>
        <v>18</v>
      </c>
      <c r="U354" s="9" t="str">
        <f>VLOOKUP(AC354,moves!A:B,2,FALSE)</f>
        <v>ice</v>
      </c>
      <c r="V354" s="9"/>
      <c r="W354" s="9"/>
      <c r="X354" s="9"/>
      <c r="Y354" s="9"/>
      <c r="Z354" s="12"/>
      <c r="AA354" s="8" t="s">
        <v>442</v>
      </c>
      <c r="AB354" s="9" t="s">
        <v>557</v>
      </c>
      <c r="AC354" s="8" t="str">
        <f>VLOOKUP(AA354,$AA$2:$AC$342,3,FALSE)</f>
        <v>Ice Beam</v>
      </c>
      <c r="AD354" s="8" t="str">
        <f>VLOOKUP(AC354,moves!A:B,2,FALSE)</f>
        <v>ice</v>
      </c>
      <c r="AE354" s="8">
        <f>VLOOKUP(AC354,moves!A:D,4,FALSE)</f>
        <v>4</v>
      </c>
      <c r="AF354" s="8" t="str">
        <f>VLOOKUP(AC354,moves!A:E,5,FALSE)</f>
        <v>If a status symbol is rolled: Inflict the Frozen status on the target.</v>
      </c>
      <c r="AG354" s="11">
        <v>0</v>
      </c>
      <c r="AH354" s="11">
        <v>0</v>
      </c>
      <c r="AI354" s="8" t="s">
        <v>564</v>
      </c>
      <c r="AJ354" s="8" t="s">
        <v>476</v>
      </c>
      <c r="AK354" s="8">
        <v>1</v>
      </c>
      <c r="AL354" s="8">
        <v>1</v>
      </c>
      <c r="AM354" s="8">
        <v>0</v>
      </c>
    </row>
    <row r="355" spans="1:39" ht="15.75" thickBot="1" x14ac:dyDescent="0.3">
      <c r="A355" s="15" t="s">
        <v>1302</v>
      </c>
      <c r="B355" s="15" t="s">
        <v>233</v>
      </c>
      <c r="C355" s="20" t="s">
        <v>26</v>
      </c>
      <c r="D355" s="20" t="s">
        <v>14</v>
      </c>
      <c r="E355" s="15">
        <v>75</v>
      </c>
      <c r="F355" s="15">
        <v>75</v>
      </c>
      <c r="G355" s="15">
        <v>130</v>
      </c>
      <c r="H355" s="15">
        <v>75</v>
      </c>
      <c r="I355" s="15">
        <v>130</v>
      </c>
      <c r="J355" s="15">
        <v>95</v>
      </c>
      <c r="K355" s="15" t="s">
        <v>608</v>
      </c>
      <c r="L355" s="14"/>
      <c r="M355" s="15" t="s">
        <v>554</v>
      </c>
      <c r="N355" s="14">
        <f t="shared" si="192"/>
        <v>8.3000000000000007</v>
      </c>
      <c r="O355" s="14">
        <f t="shared" si="193"/>
        <v>10.8</v>
      </c>
      <c r="P355" s="14">
        <v>0</v>
      </c>
      <c r="Q355" s="14">
        <v>0</v>
      </c>
      <c r="R355" s="17">
        <f t="shared" si="194"/>
        <v>8</v>
      </c>
      <c r="S355" s="17">
        <f t="shared" si="195"/>
        <v>11</v>
      </c>
      <c r="T355" s="17">
        <f t="shared" si="271"/>
        <v>19</v>
      </c>
      <c r="U355" s="14" t="str">
        <f>VLOOKUP(AC355,moves!A:B,2,FALSE)</f>
        <v>ice</v>
      </c>
      <c r="V355" s="15"/>
      <c r="W355" s="15"/>
      <c r="X355" s="15"/>
      <c r="Y355" s="14"/>
      <c r="Z355" s="17" t="str">
        <f t="shared" si="191"/>
        <v/>
      </c>
      <c r="AA355" s="18" t="str">
        <f t="shared" si="272"/>
        <v>Uxie</v>
      </c>
      <c r="AB355" s="14" t="s">
        <v>557</v>
      </c>
      <c r="AC355" s="18" t="str">
        <f>VLOOKUP(AA355,$AA$2:$AC$342,3,FALSE)</f>
        <v>Chilling Acuity</v>
      </c>
      <c r="AD355" s="18" t="str">
        <f>VLOOKUP(AC355,moves!A:B,2,FALSE)</f>
        <v>ice</v>
      </c>
      <c r="AE355" s="18">
        <f>VLOOKUP(AC355,moves!A:D,4,FALSE)</f>
        <v>5</v>
      </c>
      <c r="AF355" s="18" t="str">
        <f>VLOOKUP(AC355,moves!A:E,5,FALSE)</f>
        <v>For each status symbol rolled: Inflict the Frozen status on the target or any Pokémon in the target party.</v>
      </c>
      <c r="AG355" s="19">
        <v>0</v>
      </c>
      <c r="AH355" s="19">
        <v>0</v>
      </c>
      <c r="AI355" s="18" t="s">
        <v>564</v>
      </c>
      <c r="AJ355" s="18" t="s">
        <v>476</v>
      </c>
      <c r="AK355" s="18">
        <v>1</v>
      </c>
      <c r="AL355" s="18">
        <v>1</v>
      </c>
      <c r="AM355" s="18">
        <v>0</v>
      </c>
    </row>
    <row r="356" spans="1:39" x14ac:dyDescent="0.25">
      <c r="A356" s="10">
        <v>437</v>
      </c>
      <c r="B356" s="10" t="s">
        <v>191</v>
      </c>
      <c r="C356" s="13" t="s">
        <v>39</v>
      </c>
      <c r="D356" s="13" t="s">
        <v>26</v>
      </c>
      <c r="E356" s="10">
        <v>67</v>
      </c>
      <c r="F356" s="10">
        <v>89</v>
      </c>
      <c r="G356" s="10">
        <v>116</v>
      </c>
      <c r="H356" s="10">
        <v>79</v>
      </c>
      <c r="I356" s="10">
        <v>116</v>
      </c>
      <c r="J356" s="10">
        <v>33</v>
      </c>
      <c r="K356" s="10" t="s">
        <v>364</v>
      </c>
      <c r="M356" s="2" t="s">
        <v>554</v>
      </c>
      <c r="N356" s="9">
        <f t="shared" si="192"/>
        <v>6.5600000000000005</v>
      </c>
      <c r="O356" s="9">
        <f t="shared" si="193"/>
        <v>9.6399999999999988</v>
      </c>
      <c r="P356" s="9">
        <v>0</v>
      </c>
      <c r="Q356" s="9">
        <v>2</v>
      </c>
      <c r="R356" s="12">
        <f t="shared" si="194"/>
        <v>7</v>
      </c>
      <c r="S356" s="12">
        <f t="shared" si="195"/>
        <v>12</v>
      </c>
      <c r="T356" s="12">
        <f t="shared" si="271"/>
        <v>19</v>
      </c>
      <c r="U356" s="1" t="str">
        <f>VLOOKUP(AC356,moves!A:B,2,FALSE)</f>
        <v>steel</v>
      </c>
      <c r="Z356" s="12" t="str">
        <f t="shared" si="191"/>
        <v/>
      </c>
      <c r="AA356" t="str">
        <f t="shared" si="272"/>
        <v>Bronzong</v>
      </c>
      <c r="AB356" s="1" t="s">
        <v>558</v>
      </c>
      <c r="AC356" s="8" t="str">
        <f>VLOOKUP(AA356,$AA$2:$AC$342,3,FALSE)</f>
        <v>Heavy Slam</v>
      </c>
      <c r="AD356" s="8" t="str">
        <f>VLOOKUP(AC356,moves!A:B,2,FALSE)</f>
        <v>steel</v>
      </c>
      <c r="AE356" s="8" t="str">
        <f>VLOOKUP(AC356,moves!A:D,4,FALSE)</f>
        <v>?</v>
      </c>
      <c r="AF356" s="8" t="str">
        <f>VLOOKUP(AC356,moves!A:E,5,FALSE)</f>
        <v>Attack strength is equal to half the base health of the user, rounded down. Maximum 5 attack strength.</v>
      </c>
      <c r="AG356" s="6">
        <v>0</v>
      </c>
      <c r="AH356" s="6">
        <v>0</v>
      </c>
      <c r="AI356" t="s">
        <v>564</v>
      </c>
      <c r="AJ356" t="s">
        <v>477</v>
      </c>
      <c r="AK356" s="6">
        <v>1</v>
      </c>
      <c r="AL356" s="8">
        <v>1</v>
      </c>
      <c r="AM356" s="8">
        <v>0</v>
      </c>
    </row>
    <row r="357" spans="1:39" x14ac:dyDescent="0.25">
      <c r="A357" s="10">
        <v>125</v>
      </c>
      <c r="B357" s="10" t="s">
        <v>54</v>
      </c>
      <c r="C357" s="13" t="s">
        <v>11</v>
      </c>
      <c r="D357" s="13"/>
      <c r="E357" s="10">
        <v>65</v>
      </c>
      <c r="F357" s="10">
        <v>83</v>
      </c>
      <c r="G357" s="10">
        <v>57</v>
      </c>
      <c r="H357" s="10">
        <v>95</v>
      </c>
      <c r="I357" s="10">
        <v>85</v>
      </c>
      <c r="J357" s="10">
        <v>105</v>
      </c>
      <c r="K357" s="10" t="s">
        <v>398</v>
      </c>
      <c r="M357" s="2" t="s">
        <v>554</v>
      </c>
      <c r="N357" s="9">
        <f t="shared" si="192"/>
        <v>9.7799999999999994</v>
      </c>
      <c r="O357" s="9">
        <f t="shared" si="193"/>
        <v>6.8599999999999994</v>
      </c>
      <c r="P357" s="9">
        <v>0</v>
      </c>
      <c r="Q357" s="9">
        <v>2</v>
      </c>
      <c r="R357" s="12">
        <f t="shared" si="194"/>
        <v>10</v>
      </c>
      <c r="S357" s="12">
        <f t="shared" si="195"/>
        <v>9</v>
      </c>
      <c r="T357" s="12">
        <f t="shared" si="271"/>
        <v>19</v>
      </c>
      <c r="U357" s="1" t="str">
        <f>VLOOKUP(AC357,moves!A:B,2,FALSE)</f>
        <v>electric</v>
      </c>
      <c r="V357" s="2"/>
      <c r="W357" s="2"/>
      <c r="X357" s="2"/>
      <c r="Z357" s="12" t="str">
        <f t="shared" si="191"/>
        <v/>
      </c>
      <c r="AA357" t="str">
        <f t="shared" si="272"/>
        <v>Electabuzz</v>
      </c>
      <c r="AB357" s="1" t="s">
        <v>558</v>
      </c>
      <c r="AC357" s="8" t="str">
        <f>VLOOKUP(AA357,$AA$2:$AC$342,3,FALSE)</f>
        <v>Thunderbolt</v>
      </c>
      <c r="AD357" s="8" t="str">
        <f>VLOOKUP(AC357,moves!A:B,2,FALSE)</f>
        <v>electric</v>
      </c>
      <c r="AE357" s="8">
        <f>VLOOKUP(AC357,moves!A:D,4,FALSE)</f>
        <v>4</v>
      </c>
      <c r="AF357" s="8" t="str">
        <f>VLOOKUP(AC357,moves!A:E,5,FALSE)</f>
        <v>If a status symbol is rolled: Inflict the Paralysed status on the target.</v>
      </c>
      <c r="AG357" s="6">
        <v>0</v>
      </c>
      <c r="AH357" s="6">
        <v>0</v>
      </c>
      <c r="AI357" t="s">
        <v>564</v>
      </c>
      <c r="AJ357" t="s">
        <v>477</v>
      </c>
      <c r="AK357" s="6">
        <v>1</v>
      </c>
      <c r="AL357" s="8">
        <v>1</v>
      </c>
      <c r="AM357" s="8">
        <v>0</v>
      </c>
    </row>
    <row r="358" spans="1:39" x14ac:dyDescent="0.25">
      <c r="A358" s="10">
        <v>432</v>
      </c>
      <c r="B358" s="10" t="s">
        <v>186</v>
      </c>
      <c r="C358" s="13" t="s">
        <v>8</v>
      </c>
      <c r="D358" s="13"/>
      <c r="E358" s="10">
        <v>71</v>
      </c>
      <c r="F358" s="10">
        <v>82</v>
      </c>
      <c r="G358" s="10">
        <v>64</v>
      </c>
      <c r="H358" s="10">
        <v>64</v>
      </c>
      <c r="I358" s="10">
        <v>59</v>
      </c>
      <c r="J358" s="10">
        <v>112</v>
      </c>
      <c r="K358" s="10" t="s">
        <v>359</v>
      </c>
      <c r="M358" s="2" t="s">
        <v>554</v>
      </c>
      <c r="N358" s="9">
        <f>(0.4*J358 + 0.5*MAX(F358,H358) + 0.1*MIN(F358,H358)) / 10</f>
        <v>9.2200000000000024</v>
      </c>
      <c r="O358" s="9">
        <f t="shared" si="193"/>
        <v>6.5299999999999994</v>
      </c>
      <c r="P358" s="9">
        <v>0</v>
      </c>
      <c r="Q358" s="9">
        <v>2</v>
      </c>
      <c r="R358" s="12">
        <f>ROUND(N358,0)+P358</f>
        <v>9</v>
      </c>
      <c r="S358" s="12">
        <f t="shared" si="195"/>
        <v>9</v>
      </c>
      <c r="T358" s="12">
        <f t="shared" si="271"/>
        <v>18</v>
      </c>
      <c r="U358" s="1" t="str">
        <f>VLOOKUP(AC358,moves!A:B,2,FALSE)</f>
        <v>normal</v>
      </c>
      <c r="V358" s="2"/>
      <c r="W358" s="2"/>
      <c r="X358" s="2"/>
      <c r="Z358" s="12" t="str">
        <f>IF(ISBLANK(Y358), "", ROUND(( (T360-6)*(T360-7) - (T358-6)*(T358-7) )/15, 0) + 1)</f>
        <v/>
      </c>
      <c r="AA358" t="str">
        <f t="shared" si="272"/>
        <v>Purugly</v>
      </c>
      <c r="AB358" s="1" t="s">
        <v>558</v>
      </c>
      <c r="AC358" s="8" t="str">
        <f>VLOOKUP(AA358,$AA$2:$AC$342,3,FALSE)</f>
        <v>Slash</v>
      </c>
      <c r="AD358" s="8" t="str">
        <f>VLOOKUP(AC358,moves!A:B,2,FALSE)</f>
        <v>normal</v>
      </c>
      <c r="AE358" s="8">
        <f>VLOOKUP(AC358,moves!A:D,4,FALSE)</f>
        <v>4</v>
      </c>
      <c r="AF358" s="8" t="str">
        <f>VLOOKUP(AC358,moves!A:E,5,FALSE)</f>
        <v>Critical hits deal +1 damage.</v>
      </c>
      <c r="AG358" s="6">
        <v>0</v>
      </c>
      <c r="AH358" s="6">
        <v>0</v>
      </c>
      <c r="AI358" t="s">
        <v>564</v>
      </c>
      <c r="AJ358" t="s">
        <v>477</v>
      </c>
      <c r="AK358">
        <v>1</v>
      </c>
      <c r="AL358" s="8">
        <v>1</v>
      </c>
      <c r="AM358" s="8">
        <v>0</v>
      </c>
    </row>
    <row r="359" spans="1:39" s="8" customFormat="1" x14ac:dyDescent="0.25">
      <c r="A359" s="9">
        <v>469</v>
      </c>
      <c r="B359" s="10" t="s">
        <v>223</v>
      </c>
      <c r="C359" s="3" t="s">
        <v>7</v>
      </c>
      <c r="D359" s="3" t="s">
        <v>5</v>
      </c>
      <c r="E359" s="9">
        <v>86</v>
      </c>
      <c r="F359" s="9">
        <v>76</v>
      </c>
      <c r="G359" s="9">
        <v>86</v>
      </c>
      <c r="H359" s="9">
        <v>116</v>
      </c>
      <c r="I359" s="9">
        <v>56</v>
      </c>
      <c r="J359" s="9">
        <v>95</v>
      </c>
      <c r="K359" s="9" t="s">
        <v>406</v>
      </c>
      <c r="L359" s="9"/>
      <c r="M359" s="10" t="s">
        <v>554</v>
      </c>
      <c r="N359" s="9">
        <f>(0.4*J359 + 0.5*MAX(F359,H359) + 0.1*MIN(F359,H359)) / 10</f>
        <v>10.36</v>
      </c>
      <c r="O359" s="9">
        <f t="shared" si="193"/>
        <v>7.7</v>
      </c>
      <c r="P359" s="9">
        <v>0</v>
      </c>
      <c r="Q359" s="9">
        <v>2</v>
      </c>
      <c r="R359" s="12">
        <f>ROUND(N359,0)+P359</f>
        <v>10</v>
      </c>
      <c r="S359" s="12">
        <f t="shared" si="195"/>
        <v>10</v>
      </c>
      <c r="T359" s="12">
        <f t="shared" si="271"/>
        <v>20</v>
      </c>
      <c r="U359" s="9" t="str">
        <f>VLOOKUP(AC359,moves!A:B,2,FALSE)</f>
        <v>bug</v>
      </c>
      <c r="V359" s="10"/>
      <c r="W359" s="10"/>
      <c r="X359" s="10"/>
      <c r="Y359" s="9"/>
      <c r="Z359" s="12"/>
      <c r="AA359" s="8" t="str">
        <f t="shared" si="272"/>
        <v>Yanmega</v>
      </c>
      <c r="AB359" s="9" t="s">
        <v>558</v>
      </c>
      <c r="AC359" s="8" t="str">
        <f>VLOOKUP(AA359,$AA$2:$AC$342,3,FALSE)</f>
        <v>Bug Buzz</v>
      </c>
      <c r="AD359" s="8" t="str">
        <f>VLOOKUP(AC359,moves!A:B,2,FALSE)</f>
        <v>bug</v>
      </c>
      <c r="AE359" s="8">
        <f>VLOOKUP(AC359,moves!A:D,4,FALSE)</f>
        <v>4</v>
      </c>
      <c r="AF359" s="8" t="str">
        <f>VLOOKUP(AC359,moves!A:E,5,FALSE)</f>
        <v>If a status symbol is rolled: Inflict the Paralysed status on the target.</v>
      </c>
      <c r="AG359" s="11">
        <v>0</v>
      </c>
      <c r="AH359" s="11">
        <v>0</v>
      </c>
      <c r="AI359" s="8" t="s">
        <v>564</v>
      </c>
      <c r="AJ359" s="8" t="s">
        <v>477</v>
      </c>
      <c r="AK359" s="8">
        <v>1</v>
      </c>
      <c r="AL359" s="8">
        <v>1</v>
      </c>
      <c r="AM359" s="8">
        <v>0</v>
      </c>
    </row>
    <row r="360" spans="1:39" ht="15.75" thickBot="1" x14ac:dyDescent="0.3">
      <c r="A360" s="15" t="s">
        <v>1303</v>
      </c>
      <c r="B360" s="15" t="s">
        <v>234</v>
      </c>
      <c r="C360" s="20" t="s">
        <v>26</v>
      </c>
      <c r="D360" s="20" t="s">
        <v>11</v>
      </c>
      <c r="E360" s="15">
        <v>80</v>
      </c>
      <c r="F360" s="15">
        <v>105</v>
      </c>
      <c r="G360" s="15">
        <v>105</v>
      </c>
      <c r="H360" s="15">
        <v>105</v>
      </c>
      <c r="I360" s="15">
        <v>105</v>
      </c>
      <c r="J360" s="15">
        <v>80</v>
      </c>
      <c r="K360" s="15" t="s">
        <v>420</v>
      </c>
      <c r="L360" s="14"/>
      <c r="M360" s="15" t="s">
        <v>554</v>
      </c>
      <c r="N360" s="14">
        <f t="shared" si="192"/>
        <v>9.5</v>
      </c>
      <c r="O360" s="14">
        <f t="shared" si="193"/>
        <v>9.5</v>
      </c>
      <c r="P360" s="14">
        <v>0</v>
      </c>
      <c r="Q360" s="14">
        <v>-1</v>
      </c>
      <c r="R360" s="17">
        <f t="shared" si="194"/>
        <v>10</v>
      </c>
      <c r="S360" s="17">
        <f t="shared" si="195"/>
        <v>9</v>
      </c>
      <c r="T360" s="17">
        <f t="shared" si="271"/>
        <v>19</v>
      </c>
      <c r="U360" s="14" t="str">
        <f>VLOOKUP(AC360,moves!A:B,2,FALSE)</f>
        <v>electric</v>
      </c>
      <c r="V360" s="15"/>
      <c r="W360" s="15"/>
      <c r="X360" s="15"/>
      <c r="Y360" s="14"/>
      <c r="Z360" s="17" t="str">
        <f t="shared" si="191"/>
        <v/>
      </c>
      <c r="AA360" s="18" t="str">
        <f t="shared" si="272"/>
        <v>Mesprit</v>
      </c>
      <c r="AB360" s="14" t="s">
        <v>558</v>
      </c>
      <c r="AC360" s="18" t="str">
        <f>VLOOKUP(AA360,$AA$2:$AC$342,3,FALSE)</f>
        <v>Shocking Verity</v>
      </c>
      <c r="AD360" s="18" t="str">
        <f>VLOOKUP(AC360,moves!A:B,2,FALSE)</f>
        <v>electric</v>
      </c>
      <c r="AE360" s="18">
        <f>VLOOKUP(AC360,moves!A:D,4,FALSE)</f>
        <v>5</v>
      </c>
      <c r="AF360" s="18" t="str">
        <f>VLOOKUP(AC360,moves!A:E,5,FALSE)</f>
        <v>For each status symbol rolled: Inflict the Paralysed status on the target or any Pokémon in the target party.</v>
      </c>
      <c r="AG360" s="19">
        <v>0</v>
      </c>
      <c r="AH360" s="19">
        <v>0</v>
      </c>
      <c r="AI360" s="18" t="s">
        <v>564</v>
      </c>
      <c r="AJ360" s="18" t="s">
        <v>477</v>
      </c>
      <c r="AK360" s="18">
        <v>1</v>
      </c>
      <c r="AL360" s="18">
        <v>1</v>
      </c>
      <c r="AM360" s="18">
        <v>0</v>
      </c>
    </row>
    <row r="361" spans="1:39" x14ac:dyDescent="0.25">
      <c r="A361" s="10">
        <v>64</v>
      </c>
      <c r="B361" s="11" t="s">
        <v>27</v>
      </c>
      <c r="C361" s="11" t="s">
        <v>26</v>
      </c>
      <c r="D361" s="11"/>
      <c r="E361" s="11">
        <v>40</v>
      </c>
      <c r="F361" s="11">
        <v>35</v>
      </c>
      <c r="G361" s="11">
        <v>30</v>
      </c>
      <c r="H361" s="11">
        <v>120</v>
      </c>
      <c r="I361" s="11">
        <v>70</v>
      </c>
      <c r="J361" s="11">
        <v>105</v>
      </c>
      <c r="K361" s="11" t="s">
        <v>258</v>
      </c>
      <c r="M361" s="2" t="s">
        <v>554</v>
      </c>
      <c r="N361" s="9">
        <f t="shared" si="192"/>
        <v>10.55</v>
      </c>
      <c r="O361" s="9">
        <f t="shared" si="193"/>
        <v>4.5999999999999996</v>
      </c>
      <c r="P361" s="9">
        <v>0</v>
      </c>
      <c r="Q361" s="9">
        <v>2</v>
      </c>
      <c r="R361" s="12">
        <f t="shared" si="194"/>
        <v>11</v>
      </c>
      <c r="S361" s="12">
        <f t="shared" si="195"/>
        <v>7</v>
      </c>
      <c r="T361" s="12">
        <f t="shared" si="271"/>
        <v>18</v>
      </c>
      <c r="U361" s="1" t="str">
        <f>VLOOKUP(AC361,moves!A:B,2,FALSE)</f>
        <v>psychic</v>
      </c>
      <c r="Z361" s="12" t="str">
        <f t="shared" si="191"/>
        <v/>
      </c>
      <c r="AA361" t="str">
        <f t="shared" si="272"/>
        <v>Kadabra</v>
      </c>
      <c r="AB361" s="1" t="s">
        <v>559</v>
      </c>
      <c r="AC361" s="8" t="str">
        <f>VLOOKUP(AA361,$AA$2:$AC$342,3,FALSE)</f>
        <v>Kinesis</v>
      </c>
      <c r="AD361" s="8" t="str">
        <f>VLOOKUP(AC361,moves!A:B,2,FALSE)</f>
        <v>psychic</v>
      </c>
      <c r="AE361" s="8">
        <f>VLOOKUP(AC361,moves!A:D,4,FALSE)</f>
        <v>3</v>
      </c>
      <c r="AF361" s="8" t="str">
        <f>VLOOKUP(AC361,moves!A:E,5,FALSE)</f>
        <v>Copy the effect of a move the user or target knows.</v>
      </c>
      <c r="AG361" s="6">
        <v>0</v>
      </c>
      <c r="AH361" s="6">
        <v>0</v>
      </c>
      <c r="AI361" t="s">
        <v>564</v>
      </c>
      <c r="AJ361" t="s">
        <v>478</v>
      </c>
      <c r="AK361" s="6">
        <v>1</v>
      </c>
      <c r="AL361" s="8">
        <v>1</v>
      </c>
      <c r="AM361" s="8">
        <v>0</v>
      </c>
    </row>
    <row r="362" spans="1:39" x14ac:dyDescent="0.25">
      <c r="A362" s="10">
        <v>126</v>
      </c>
      <c r="B362" s="10" t="s">
        <v>55</v>
      </c>
      <c r="C362" s="13" t="s">
        <v>4</v>
      </c>
      <c r="D362" s="13"/>
      <c r="E362" s="10">
        <v>65</v>
      </c>
      <c r="F362" s="10">
        <v>95</v>
      </c>
      <c r="G362" s="10">
        <v>57</v>
      </c>
      <c r="H362" s="10">
        <v>100</v>
      </c>
      <c r="I362" s="10">
        <v>85</v>
      </c>
      <c r="J362" s="10">
        <v>93</v>
      </c>
      <c r="K362" s="10" t="s">
        <v>401</v>
      </c>
      <c r="M362" s="2" t="s">
        <v>554</v>
      </c>
      <c r="N362" s="9">
        <f t="shared" si="192"/>
        <v>9.67</v>
      </c>
      <c r="O362" s="9">
        <f t="shared" si="193"/>
        <v>6.8599999999999994</v>
      </c>
      <c r="P362" s="9">
        <v>0</v>
      </c>
      <c r="Q362" s="9">
        <v>2</v>
      </c>
      <c r="R362" s="12">
        <f t="shared" si="194"/>
        <v>10</v>
      </c>
      <c r="S362" s="12">
        <f t="shared" si="195"/>
        <v>9</v>
      </c>
      <c r="T362" s="12">
        <f t="shared" si="271"/>
        <v>19</v>
      </c>
      <c r="U362" s="1" t="str">
        <f>VLOOKUP(AC362,moves!A:B,2,FALSE)</f>
        <v>fire</v>
      </c>
      <c r="V362" s="2"/>
      <c r="W362" s="2"/>
      <c r="X362" s="2"/>
      <c r="Z362" s="12" t="str">
        <f t="shared" si="191"/>
        <v/>
      </c>
      <c r="AA362" t="str">
        <f t="shared" si="272"/>
        <v>Magmar</v>
      </c>
      <c r="AB362" s="1" t="s">
        <v>559</v>
      </c>
      <c r="AC362" s="8" t="str">
        <f>VLOOKUP(AA362,$AA$2:$AC$342,3,FALSE)</f>
        <v>Flamethrower</v>
      </c>
      <c r="AD362" s="8" t="str">
        <f>VLOOKUP(AC362,moves!A:B,2,FALSE)</f>
        <v>fire</v>
      </c>
      <c r="AE362" s="8">
        <f>VLOOKUP(AC362,moves!A:D,4,FALSE)</f>
        <v>4</v>
      </c>
      <c r="AF362" s="8" t="str">
        <f>VLOOKUP(AC362,moves!A:E,5,FALSE)</f>
        <v>If a status symbol is rolled: Inflict the Burned status on the target.</v>
      </c>
      <c r="AG362" s="6">
        <v>0</v>
      </c>
      <c r="AH362" s="6">
        <v>0</v>
      </c>
      <c r="AI362" t="s">
        <v>564</v>
      </c>
      <c r="AJ362" t="s">
        <v>478</v>
      </c>
      <c r="AK362">
        <v>1</v>
      </c>
      <c r="AL362" s="8">
        <v>1</v>
      </c>
      <c r="AM362" s="8">
        <v>0</v>
      </c>
    </row>
    <row r="363" spans="1:39" x14ac:dyDescent="0.25">
      <c r="A363" s="10">
        <v>454</v>
      </c>
      <c r="B363" s="10" t="s">
        <v>208</v>
      </c>
      <c r="C363" s="13" t="s">
        <v>3</v>
      </c>
      <c r="D363" s="13" t="s">
        <v>22</v>
      </c>
      <c r="E363" s="10">
        <v>83</v>
      </c>
      <c r="F363" s="10">
        <v>106</v>
      </c>
      <c r="G363" s="10">
        <v>65</v>
      </c>
      <c r="H363" s="10">
        <v>86</v>
      </c>
      <c r="I363" s="10">
        <v>65</v>
      </c>
      <c r="J363" s="10">
        <v>85</v>
      </c>
      <c r="K363" s="10" t="s">
        <v>385</v>
      </c>
      <c r="M363" s="2" t="s">
        <v>554</v>
      </c>
      <c r="N363" s="9">
        <f t="shared" si="192"/>
        <v>9.5599999999999987</v>
      </c>
      <c r="O363" s="9">
        <f t="shared" si="193"/>
        <v>7.2200000000000006</v>
      </c>
      <c r="P363" s="9">
        <v>0</v>
      </c>
      <c r="Q363" s="9">
        <v>2</v>
      </c>
      <c r="R363" s="12">
        <f t="shared" si="194"/>
        <v>10</v>
      </c>
      <c r="S363" s="12">
        <f t="shared" si="195"/>
        <v>9</v>
      </c>
      <c r="T363" s="12">
        <f t="shared" si="271"/>
        <v>19</v>
      </c>
      <c r="U363" s="1" t="str">
        <f>VLOOKUP(AC363,moves!A:B,2,FALSE)</f>
        <v>poison</v>
      </c>
      <c r="V363" s="2"/>
      <c r="W363" s="2"/>
      <c r="X363" s="2"/>
      <c r="Z363" s="12" t="str">
        <f>IF(ISBLANK(Y363), "", ROUND(( (T365-6)*(T365-7) - (T363-6)*(T363-7) )/15, 0) + 1)</f>
        <v/>
      </c>
      <c r="AA363" t="str">
        <f t="shared" si="272"/>
        <v>Toxicroak</v>
      </c>
      <c r="AB363" s="1" t="s">
        <v>559</v>
      </c>
      <c r="AC363" s="8" t="str">
        <f>VLOOKUP(AA363,$AA$2:$AC$342,3,FALSE)</f>
        <v>Poison Jab</v>
      </c>
      <c r="AD363" s="8" t="str">
        <f>VLOOKUP(AC363,moves!A:B,2,FALSE)</f>
        <v>poison</v>
      </c>
      <c r="AE363" s="8">
        <f>VLOOKUP(AC363,moves!A:D,4,FALSE)</f>
        <v>4</v>
      </c>
      <c r="AF363" s="8" t="str">
        <f>VLOOKUP(AC363,moves!A:E,5,FALSE)</f>
        <v>If a status symbol is rolled: Inflict the Poisoned status on the target.</v>
      </c>
      <c r="AG363" s="6">
        <v>0</v>
      </c>
      <c r="AH363" s="6">
        <v>0</v>
      </c>
      <c r="AI363" t="s">
        <v>564</v>
      </c>
      <c r="AJ363" t="s">
        <v>478</v>
      </c>
      <c r="AK363">
        <v>1</v>
      </c>
      <c r="AL363" s="8">
        <v>1</v>
      </c>
      <c r="AM363" s="8">
        <v>0</v>
      </c>
    </row>
    <row r="364" spans="1:39" s="8" customFormat="1" x14ac:dyDescent="0.25">
      <c r="A364" s="9">
        <v>112</v>
      </c>
      <c r="B364" s="10" t="s">
        <v>50</v>
      </c>
      <c r="C364" s="3" t="s">
        <v>13</v>
      </c>
      <c r="D364" s="3" t="s">
        <v>33</v>
      </c>
      <c r="E364" s="9">
        <v>105</v>
      </c>
      <c r="F364" s="9">
        <v>130</v>
      </c>
      <c r="G364" s="9">
        <v>120</v>
      </c>
      <c r="H364" s="9">
        <v>45</v>
      </c>
      <c r="I364" s="9">
        <v>45</v>
      </c>
      <c r="J364" s="9">
        <v>40</v>
      </c>
      <c r="K364" s="9" t="s">
        <v>396</v>
      </c>
      <c r="L364" s="9"/>
      <c r="M364" s="10" t="s">
        <v>554</v>
      </c>
      <c r="N364" s="9">
        <f t="shared" si="192"/>
        <v>8.5500000000000007</v>
      </c>
      <c r="O364" s="9">
        <f t="shared" si="193"/>
        <v>9.15</v>
      </c>
      <c r="P364" s="9">
        <v>0</v>
      </c>
      <c r="Q364" s="9">
        <v>2</v>
      </c>
      <c r="R364" s="12">
        <f t="shared" si="194"/>
        <v>9</v>
      </c>
      <c r="S364" s="12">
        <f t="shared" si="195"/>
        <v>11</v>
      </c>
      <c r="T364" s="12">
        <f t="shared" si="271"/>
        <v>20</v>
      </c>
      <c r="U364" s="9" t="str">
        <f>VLOOKUP(AC364,moves!A:B,2,FALSE)</f>
        <v>ground</v>
      </c>
      <c r="V364" s="10"/>
      <c r="W364" s="10"/>
      <c r="X364" s="10"/>
      <c r="Y364" s="9"/>
      <c r="Z364" s="12"/>
      <c r="AA364" s="8" t="str">
        <f t="shared" si="272"/>
        <v>Rhydon</v>
      </c>
      <c r="AB364" s="9" t="s">
        <v>559</v>
      </c>
      <c r="AC364" s="8" t="str">
        <f>VLOOKUP(AA364,$AA$2:$AC$342,3,FALSE)</f>
        <v>Earthquake</v>
      </c>
      <c r="AD364" s="8" t="str">
        <f>VLOOKUP(AC364,moves!A:B,2,FALSE)</f>
        <v>ground</v>
      </c>
      <c r="AE364" s="8">
        <f>VLOOKUP(AC364,moves!A:D,4,FALSE)</f>
        <v>5</v>
      </c>
      <c r="AF364" s="8" t="str">
        <f>VLOOKUP(AC364,moves!A:E,5,FALSE)</f>
        <v>If 2+ status symbols are rolled: Deal 2 damage to a Pokémon in the target party that is not the target.</v>
      </c>
      <c r="AG364" s="11">
        <v>0</v>
      </c>
      <c r="AH364" s="11">
        <v>0</v>
      </c>
      <c r="AI364" s="8" t="s">
        <v>564</v>
      </c>
      <c r="AJ364" s="8" t="s">
        <v>478</v>
      </c>
      <c r="AK364" s="8">
        <v>1</v>
      </c>
      <c r="AL364" s="8">
        <v>1</v>
      </c>
      <c r="AM364" s="8">
        <v>0</v>
      </c>
    </row>
    <row r="365" spans="1:39" ht="15.75" thickBot="1" x14ac:dyDescent="0.3">
      <c r="A365" s="15" t="s">
        <v>1304</v>
      </c>
      <c r="B365" s="15" t="s">
        <v>235</v>
      </c>
      <c r="C365" s="20" t="s">
        <v>26</v>
      </c>
      <c r="D365" s="20" t="s">
        <v>4</v>
      </c>
      <c r="E365" s="15">
        <v>75</v>
      </c>
      <c r="F365" s="15">
        <v>125</v>
      </c>
      <c r="G365" s="15">
        <v>70</v>
      </c>
      <c r="H365" s="15">
        <v>125</v>
      </c>
      <c r="I365" s="15">
        <v>70</v>
      </c>
      <c r="J365" s="15">
        <v>115</v>
      </c>
      <c r="K365" s="15" t="s">
        <v>609</v>
      </c>
      <c r="L365" s="14"/>
      <c r="M365" s="15" t="s">
        <v>554</v>
      </c>
      <c r="N365" s="14">
        <f t="shared" si="192"/>
        <v>12.1</v>
      </c>
      <c r="O365" s="14">
        <f t="shared" si="193"/>
        <v>7.2</v>
      </c>
      <c r="P365" s="14">
        <v>0</v>
      </c>
      <c r="Q365" s="14">
        <v>0</v>
      </c>
      <c r="R365" s="17">
        <f t="shared" si="194"/>
        <v>12</v>
      </c>
      <c r="S365" s="17">
        <f t="shared" si="195"/>
        <v>7</v>
      </c>
      <c r="T365" s="17">
        <f t="shared" si="271"/>
        <v>19</v>
      </c>
      <c r="U365" s="14" t="str">
        <f>VLOOKUP(AC365,moves!A:B,2,FALSE)</f>
        <v>fire</v>
      </c>
      <c r="V365" s="15"/>
      <c r="W365" s="15"/>
      <c r="X365" s="15"/>
      <c r="Y365" s="14"/>
      <c r="Z365" s="17" t="str">
        <f t="shared" si="191"/>
        <v/>
      </c>
      <c r="AA365" s="18" t="str">
        <f t="shared" si="272"/>
        <v>Azelf</v>
      </c>
      <c r="AB365" s="14" t="s">
        <v>559</v>
      </c>
      <c r="AC365" s="18" t="str">
        <f>VLOOKUP(AA365,$AA$2:$AC$342,3,FALSE)</f>
        <v>Blazing Valor</v>
      </c>
      <c r="AD365" s="18" t="str">
        <f>VLOOKUP(AC365,moves!A:B,2,FALSE)</f>
        <v>fire</v>
      </c>
      <c r="AE365" s="18">
        <f>VLOOKUP(AC365,moves!A:D,4,FALSE)</f>
        <v>5</v>
      </c>
      <c r="AF365" s="18" t="str">
        <f>VLOOKUP(AC365,moves!A:E,5,FALSE)</f>
        <v>For each status symbol rolled: Inflict the Burned status on the target or any Pokémon in the target party.</v>
      </c>
      <c r="AG365" s="19">
        <v>0</v>
      </c>
      <c r="AH365" s="19">
        <v>0</v>
      </c>
      <c r="AI365" s="18" t="s">
        <v>564</v>
      </c>
      <c r="AJ365" s="18" t="s">
        <v>478</v>
      </c>
      <c r="AK365" s="18">
        <v>1</v>
      </c>
      <c r="AL365" s="18">
        <v>1</v>
      </c>
      <c r="AM365" s="18">
        <v>0</v>
      </c>
    </row>
    <row r="366" spans="1:39" x14ac:dyDescent="0.25">
      <c r="A366" s="10">
        <v>229</v>
      </c>
      <c r="B366" s="10" t="s">
        <v>100</v>
      </c>
      <c r="C366" s="13" t="s">
        <v>9</v>
      </c>
      <c r="D366" s="13" t="s">
        <v>4</v>
      </c>
      <c r="E366" s="10">
        <v>75</v>
      </c>
      <c r="F366" s="10">
        <v>90</v>
      </c>
      <c r="G366" s="10">
        <v>50</v>
      </c>
      <c r="H366" s="10">
        <v>110</v>
      </c>
      <c r="I366" s="10">
        <v>80</v>
      </c>
      <c r="J366" s="10">
        <v>95</v>
      </c>
      <c r="K366" s="10" t="s">
        <v>430</v>
      </c>
      <c r="M366" s="2" t="s">
        <v>554</v>
      </c>
      <c r="N366" s="9">
        <f t="shared" si="192"/>
        <v>10.199999999999999</v>
      </c>
      <c r="O366" s="9">
        <f t="shared" si="193"/>
        <v>6.9</v>
      </c>
      <c r="P366" s="9">
        <v>0</v>
      </c>
      <c r="Q366" s="9">
        <v>2</v>
      </c>
      <c r="R366" s="12">
        <f t="shared" si="194"/>
        <v>10</v>
      </c>
      <c r="S366" s="12">
        <f t="shared" si="195"/>
        <v>9</v>
      </c>
      <c r="T366" s="12">
        <f t="shared" si="271"/>
        <v>19</v>
      </c>
      <c r="U366" s="1" t="str">
        <f>VLOOKUP(AC366,moves!A:B,2,FALSE)</f>
        <v>fire</v>
      </c>
      <c r="V366" s="2"/>
      <c r="W366" s="2"/>
      <c r="X366" s="2"/>
      <c r="Z366" s="12" t="str">
        <f t="shared" si="191"/>
        <v/>
      </c>
      <c r="AA366" t="str">
        <f t="shared" si="272"/>
        <v>Houndoom</v>
      </c>
      <c r="AB366" s="1" t="s">
        <v>587</v>
      </c>
      <c r="AC366" s="8" t="str">
        <f>VLOOKUP(AA366,$AA$2:$AC$342,3,FALSE)</f>
        <v>Flamethrower</v>
      </c>
      <c r="AD366" s="8" t="str">
        <f>VLOOKUP(AC366,moves!A:B,2,FALSE)</f>
        <v>fire</v>
      </c>
      <c r="AE366" s="8">
        <f>VLOOKUP(AC366,moves!A:D,4,FALSE)</f>
        <v>4</v>
      </c>
      <c r="AF366" s="8" t="str">
        <f>VLOOKUP(AC366,moves!A:E,5,FALSE)</f>
        <v>If a status symbol is rolled: Inflict the Burned status on the target.</v>
      </c>
      <c r="AG366" s="6">
        <v>0</v>
      </c>
      <c r="AH366" s="6">
        <v>0</v>
      </c>
      <c r="AI366" t="s">
        <v>565</v>
      </c>
      <c r="AJ366" t="s">
        <v>479</v>
      </c>
      <c r="AK366">
        <v>1</v>
      </c>
      <c r="AL366" s="8">
        <v>1</v>
      </c>
      <c r="AM366" s="8">
        <v>0</v>
      </c>
    </row>
    <row r="367" spans="1:39" x14ac:dyDescent="0.25">
      <c r="A367" s="10">
        <v>430</v>
      </c>
      <c r="B367" s="10" t="s">
        <v>184</v>
      </c>
      <c r="C367" s="13" t="s">
        <v>9</v>
      </c>
      <c r="D367" s="13" t="s">
        <v>5</v>
      </c>
      <c r="E367" s="10">
        <v>100</v>
      </c>
      <c r="F367" s="10">
        <v>125</v>
      </c>
      <c r="G367" s="10">
        <v>52</v>
      </c>
      <c r="H367" s="10">
        <v>105</v>
      </c>
      <c r="I367" s="10">
        <v>52</v>
      </c>
      <c r="J367" s="10">
        <v>71</v>
      </c>
      <c r="K367" s="10" t="s">
        <v>357</v>
      </c>
      <c r="M367" s="2" t="s">
        <v>554</v>
      </c>
      <c r="N367" s="9">
        <f t="shared" si="192"/>
        <v>10.14</v>
      </c>
      <c r="O367" s="9">
        <f t="shared" si="193"/>
        <v>7.12</v>
      </c>
      <c r="P367" s="9">
        <v>0</v>
      </c>
      <c r="Q367" s="9">
        <v>2</v>
      </c>
      <c r="R367" s="12">
        <f t="shared" si="194"/>
        <v>10</v>
      </c>
      <c r="S367" s="12">
        <f t="shared" si="195"/>
        <v>9</v>
      </c>
      <c r="T367" s="12">
        <f t="shared" si="271"/>
        <v>19</v>
      </c>
      <c r="U367" s="1" t="str">
        <f>VLOOKUP(AC367,moves!A:B,2,FALSE)</f>
        <v>dark</v>
      </c>
      <c r="V367" s="2"/>
      <c r="W367" s="2"/>
      <c r="X367" s="2"/>
      <c r="Z367" s="12" t="str">
        <f t="shared" si="191"/>
        <v/>
      </c>
      <c r="AA367" t="str">
        <f t="shared" si="272"/>
        <v>Honchkrow</v>
      </c>
      <c r="AB367" s="1" t="s">
        <v>587</v>
      </c>
      <c r="AC367" s="8" t="str">
        <f>VLOOKUP(AA367,$AA$2:$AC$342,3,FALSE)</f>
        <v>Night Slash</v>
      </c>
      <c r="AD367" s="8" t="str">
        <f>VLOOKUP(AC367,moves!A:B,2,FALSE)</f>
        <v>dark</v>
      </c>
      <c r="AE367" s="8">
        <f>VLOOKUP(AC367,moves!A:D,4,FALSE)</f>
        <v>4</v>
      </c>
      <c r="AF367" s="8" t="str">
        <f>VLOOKUP(AC367,moves!A:E,5,FALSE)</f>
        <v>Critical hits deal +1 damage.</v>
      </c>
      <c r="AG367" s="6">
        <v>0</v>
      </c>
      <c r="AH367" s="6">
        <v>0</v>
      </c>
      <c r="AI367" t="s">
        <v>565</v>
      </c>
      <c r="AJ367" t="s">
        <v>479</v>
      </c>
      <c r="AK367">
        <v>1</v>
      </c>
      <c r="AL367" s="8">
        <v>1</v>
      </c>
      <c r="AM367" s="8">
        <v>0</v>
      </c>
    </row>
    <row r="368" spans="1:39" x14ac:dyDescent="0.25">
      <c r="A368" s="10">
        <v>461</v>
      </c>
      <c r="B368" s="10" t="s">
        <v>215</v>
      </c>
      <c r="C368" s="13" t="s">
        <v>9</v>
      </c>
      <c r="D368" s="13" t="s">
        <v>14</v>
      </c>
      <c r="E368" s="10">
        <v>70</v>
      </c>
      <c r="F368" s="10">
        <v>120</v>
      </c>
      <c r="G368" s="10">
        <v>65</v>
      </c>
      <c r="H368" s="10">
        <v>45</v>
      </c>
      <c r="I368" s="10">
        <v>85</v>
      </c>
      <c r="J368" s="10">
        <v>125</v>
      </c>
      <c r="K368" s="10" t="s">
        <v>391</v>
      </c>
      <c r="L368" s="2"/>
      <c r="M368" s="2" t="s">
        <v>554</v>
      </c>
      <c r="N368" s="9">
        <f t="shared" si="192"/>
        <v>11.45</v>
      </c>
      <c r="O368" s="9">
        <f t="shared" si="193"/>
        <v>7.3</v>
      </c>
      <c r="P368" s="9">
        <v>0</v>
      </c>
      <c r="Q368" s="9">
        <v>2</v>
      </c>
      <c r="R368" s="12">
        <f t="shared" si="194"/>
        <v>11</v>
      </c>
      <c r="S368" s="12">
        <f t="shared" si="195"/>
        <v>9</v>
      </c>
      <c r="T368" s="12">
        <f t="shared" si="271"/>
        <v>20</v>
      </c>
      <c r="U368" s="1" t="str">
        <f>VLOOKUP(AC368,moves!A:B,2,FALSE)</f>
        <v>ice</v>
      </c>
      <c r="V368" s="2"/>
      <c r="W368" s="2"/>
      <c r="X368" s="2"/>
      <c r="Z368" s="12" t="str">
        <f t="shared" si="191"/>
        <v/>
      </c>
      <c r="AA368" t="str">
        <f t="shared" si="272"/>
        <v>Weavile</v>
      </c>
      <c r="AB368" s="1" t="s">
        <v>587</v>
      </c>
      <c r="AC368" s="8" t="str">
        <f>VLOOKUP(AA368,$AA$2:$AC$342,3,FALSE)</f>
        <v>Ice Punch</v>
      </c>
      <c r="AD368" s="8" t="str">
        <f>VLOOKUP(AC368,moves!A:B,2,FALSE)</f>
        <v>ice</v>
      </c>
      <c r="AE368" s="8">
        <f>VLOOKUP(AC368,moves!A:D,4,FALSE)</f>
        <v>4</v>
      </c>
      <c r="AF368" s="8" t="str">
        <f>VLOOKUP(AC368,moves!A:E,5,FALSE)</f>
        <v>If a status symbol is rolled: Inflict the Frozen status on the target.</v>
      </c>
      <c r="AG368" s="6">
        <v>0</v>
      </c>
      <c r="AH368" s="6">
        <v>0</v>
      </c>
      <c r="AI368" t="s">
        <v>565</v>
      </c>
      <c r="AJ368" t="s">
        <v>479</v>
      </c>
      <c r="AK368">
        <v>1</v>
      </c>
      <c r="AL368" s="8">
        <v>1</v>
      </c>
      <c r="AM368" s="8">
        <v>0</v>
      </c>
    </row>
    <row r="369" spans="1:39" x14ac:dyDescent="0.25">
      <c r="A369" s="10">
        <v>130</v>
      </c>
      <c r="B369" s="10" t="s">
        <v>57</v>
      </c>
      <c r="C369" s="13" t="s">
        <v>6</v>
      </c>
      <c r="D369" s="13" t="s">
        <v>5</v>
      </c>
      <c r="E369" s="10">
        <v>95</v>
      </c>
      <c r="F369" s="10">
        <v>125</v>
      </c>
      <c r="G369" s="10">
        <v>79</v>
      </c>
      <c r="H369" s="10">
        <v>60</v>
      </c>
      <c r="I369" s="10">
        <v>100</v>
      </c>
      <c r="J369" s="10">
        <v>81</v>
      </c>
      <c r="K369" s="11" t="s">
        <v>433</v>
      </c>
      <c r="M369" s="2" t="s">
        <v>554</v>
      </c>
      <c r="N369" s="9">
        <f t="shared" si="192"/>
        <v>10.09</v>
      </c>
      <c r="O369" s="9">
        <f t="shared" si="193"/>
        <v>9.17</v>
      </c>
      <c r="P369" s="9">
        <v>0</v>
      </c>
      <c r="Q369" s="9">
        <v>2</v>
      </c>
      <c r="R369" s="12">
        <f t="shared" si="194"/>
        <v>10</v>
      </c>
      <c r="S369" s="12">
        <f t="shared" si="195"/>
        <v>11</v>
      </c>
      <c r="T369" s="12">
        <f t="shared" si="271"/>
        <v>21</v>
      </c>
      <c r="U369" s="1" t="str">
        <f>VLOOKUP(AC369,moves!A:B,2,FALSE)</f>
        <v>dragon</v>
      </c>
      <c r="V369" s="2"/>
      <c r="W369" s="2"/>
      <c r="X369" s="2"/>
      <c r="Z369" s="12" t="str">
        <f t="shared" si="191"/>
        <v/>
      </c>
      <c r="AA369" t="str">
        <f t="shared" si="272"/>
        <v>Gyarados</v>
      </c>
      <c r="AB369" s="1" t="s">
        <v>587</v>
      </c>
      <c r="AC369" s="8" t="str">
        <f>VLOOKUP(AA369,$AA$2:$AC$342,3,FALSE)</f>
        <v>Outrage</v>
      </c>
      <c r="AD369" s="8" t="str">
        <f>VLOOKUP(AC369,moves!A:B,2,FALSE)</f>
        <v>dragon</v>
      </c>
      <c r="AE369" s="8">
        <f>VLOOKUP(AC369,moves!A:D,4,FALSE)</f>
        <v>5</v>
      </c>
      <c r="AF369" s="8" t="str">
        <f>VLOOKUP(AC369,moves!A:E,5,FALSE)</f>
        <v>If this move was used last turn, attack strength is increased to 6 but inflict the Confused status on the user.</v>
      </c>
      <c r="AG369" s="6">
        <v>0</v>
      </c>
      <c r="AH369" s="6">
        <v>0</v>
      </c>
      <c r="AI369" t="s">
        <v>565</v>
      </c>
      <c r="AJ369" t="s">
        <v>479</v>
      </c>
      <c r="AK369">
        <v>1</v>
      </c>
      <c r="AL369" s="8">
        <v>1</v>
      </c>
      <c r="AM369" s="8">
        <v>0</v>
      </c>
    </row>
    <row r="370" spans="1:39" s="8" customFormat="1" x14ac:dyDescent="0.25">
      <c r="A370" s="10">
        <v>450</v>
      </c>
      <c r="B370" s="10" t="s">
        <v>204</v>
      </c>
      <c r="C370" s="13" t="s">
        <v>13</v>
      </c>
      <c r="D370" s="13"/>
      <c r="E370" s="10">
        <v>108</v>
      </c>
      <c r="F370" s="10">
        <v>112</v>
      </c>
      <c r="G370" s="10">
        <v>118</v>
      </c>
      <c r="H370" s="10">
        <v>68</v>
      </c>
      <c r="I370" s="10">
        <v>72</v>
      </c>
      <c r="J370" s="10">
        <v>47</v>
      </c>
      <c r="K370" s="10" t="s">
        <v>382</v>
      </c>
      <c r="L370" s="9"/>
      <c r="M370" s="10" t="s">
        <v>554</v>
      </c>
      <c r="N370" s="9">
        <f t="shared" si="192"/>
        <v>8.16</v>
      </c>
      <c r="O370" s="9">
        <f t="shared" si="193"/>
        <v>10.02</v>
      </c>
      <c r="P370" s="9">
        <v>0</v>
      </c>
      <c r="Q370" s="9">
        <v>2</v>
      </c>
      <c r="R370" s="12">
        <f t="shared" si="194"/>
        <v>8</v>
      </c>
      <c r="S370" s="12">
        <f t="shared" si="195"/>
        <v>12</v>
      </c>
      <c r="T370" s="12">
        <f t="shared" si="271"/>
        <v>20</v>
      </c>
      <c r="U370" s="9" t="str">
        <f>VLOOKUP(AC370,moves!A:B,2,FALSE)</f>
        <v>ground</v>
      </c>
      <c r="V370" s="9"/>
      <c r="W370" s="9"/>
      <c r="X370" s="9"/>
      <c r="Y370" s="9"/>
      <c r="Z370" s="12" t="str">
        <f t="shared" si="191"/>
        <v/>
      </c>
      <c r="AA370" s="8" t="str">
        <f>B370</f>
        <v>Hippowdon</v>
      </c>
      <c r="AB370" s="9" t="s">
        <v>587</v>
      </c>
      <c r="AC370" s="8" t="str">
        <f>VLOOKUP(AA370,$AA$2:$AC$342,3,FALSE)</f>
        <v>Earthquake</v>
      </c>
      <c r="AD370" s="8" t="str">
        <f>VLOOKUP(AC370,moves!A:B,2,FALSE)</f>
        <v>ground</v>
      </c>
      <c r="AE370" s="8">
        <f>VLOOKUP(AC370,moves!A:D,4,FALSE)</f>
        <v>5</v>
      </c>
      <c r="AF370" s="8" t="str">
        <f>VLOOKUP(AC370,moves!A:E,5,FALSE)</f>
        <v>If 2+ status symbols are rolled: Deal 2 damage to a Pokémon in the target party that is not the target.</v>
      </c>
      <c r="AG370" s="11">
        <v>0</v>
      </c>
      <c r="AH370" s="11">
        <v>0</v>
      </c>
      <c r="AI370" s="8" t="s">
        <v>565</v>
      </c>
      <c r="AJ370" s="8" t="s">
        <v>479</v>
      </c>
      <c r="AK370" s="11">
        <v>1</v>
      </c>
      <c r="AL370" s="8">
        <v>1</v>
      </c>
      <c r="AM370" s="8">
        <v>0</v>
      </c>
    </row>
    <row r="371" spans="1:39" s="8" customFormat="1" x14ac:dyDescent="0.25">
      <c r="A371" s="10">
        <v>476</v>
      </c>
      <c r="B371" s="10" t="s">
        <v>229</v>
      </c>
      <c r="C371" s="13" t="s">
        <v>33</v>
      </c>
      <c r="D371" s="13" t="s">
        <v>39</v>
      </c>
      <c r="E371" s="10">
        <v>60</v>
      </c>
      <c r="F371" s="10">
        <v>55</v>
      </c>
      <c r="G371" s="10">
        <v>145</v>
      </c>
      <c r="H371" s="10">
        <v>75</v>
      </c>
      <c r="I371" s="10">
        <v>150</v>
      </c>
      <c r="J371" s="10">
        <v>40</v>
      </c>
      <c r="K371" s="10" t="s">
        <v>423</v>
      </c>
      <c r="L371" s="9"/>
      <c r="M371" s="10" t="s">
        <v>554</v>
      </c>
      <c r="N371" s="9">
        <f t="shared" si="192"/>
        <v>5.9</v>
      </c>
      <c r="O371" s="9">
        <f t="shared" si="193"/>
        <v>11.25</v>
      </c>
      <c r="P371" s="9">
        <v>0</v>
      </c>
      <c r="Q371" s="9">
        <v>2</v>
      </c>
      <c r="R371" s="12">
        <f t="shared" si="194"/>
        <v>6</v>
      </c>
      <c r="S371" s="12">
        <f t="shared" si="195"/>
        <v>13</v>
      </c>
      <c r="T371" s="12">
        <f t="shared" si="271"/>
        <v>19</v>
      </c>
      <c r="U371" s="9" t="str">
        <f>VLOOKUP(AC371,moves!A:B,2,FALSE)</f>
        <v>electric</v>
      </c>
      <c r="V371" s="9"/>
      <c r="W371" s="9"/>
      <c r="X371" s="9"/>
      <c r="Y371" s="9"/>
      <c r="Z371" s="12" t="str">
        <f t="shared" si="191"/>
        <v/>
      </c>
      <c r="AA371" s="8" t="str">
        <f>B371</f>
        <v>Probopass</v>
      </c>
      <c r="AB371" s="9" t="s">
        <v>587</v>
      </c>
      <c r="AC371" s="8" t="str">
        <f>VLOOKUP(AA371,$AA$2:$AC$342,3,FALSE)</f>
        <v>Zap Cannon</v>
      </c>
      <c r="AD371" s="8" t="str">
        <f>VLOOKUP(AC371,moves!A:B,2,FALSE)</f>
        <v>electric</v>
      </c>
      <c r="AE371" s="8">
        <f>VLOOKUP(AC371,moves!A:D,4,FALSE)</f>
        <v>5</v>
      </c>
      <c r="AF371" s="8" t="str">
        <f>VLOOKUP(AC371,moves!A:E,5,FALSE)</f>
        <v>Inflict the Paralysed status on the target. Status symbols deal -2 damage.</v>
      </c>
      <c r="AG371" s="11">
        <v>0</v>
      </c>
      <c r="AH371" s="11">
        <v>0</v>
      </c>
      <c r="AI371" s="8" t="s">
        <v>565</v>
      </c>
      <c r="AJ371" s="8" t="s">
        <v>479</v>
      </c>
      <c r="AK371" s="11">
        <v>1</v>
      </c>
      <c r="AL371" s="8">
        <v>1</v>
      </c>
      <c r="AM371" s="8">
        <v>0</v>
      </c>
    </row>
    <row r="372" spans="1:39" x14ac:dyDescent="0.25">
      <c r="A372" s="10">
        <v>474</v>
      </c>
      <c r="B372" s="10" t="s">
        <v>462</v>
      </c>
      <c r="C372" s="13" t="s">
        <v>8</v>
      </c>
      <c r="D372" s="13"/>
      <c r="E372" s="10">
        <v>85</v>
      </c>
      <c r="F372" s="10">
        <v>80</v>
      </c>
      <c r="G372" s="10">
        <v>70</v>
      </c>
      <c r="H372" s="10">
        <v>135</v>
      </c>
      <c r="I372" s="10">
        <v>75</v>
      </c>
      <c r="J372" s="10">
        <v>90</v>
      </c>
      <c r="K372" s="10" t="s">
        <v>611</v>
      </c>
      <c r="M372" s="2" t="s">
        <v>554</v>
      </c>
      <c r="N372" s="9">
        <f t="shared" si="192"/>
        <v>11.15</v>
      </c>
      <c r="O372" s="9">
        <f t="shared" si="193"/>
        <v>7.75</v>
      </c>
      <c r="P372" s="9">
        <v>0</v>
      </c>
      <c r="Q372" s="9">
        <v>2</v>
      </c>
      <c r="R372" s="12">
        <f t="shared" si="194"/>
        <v>11</v>
      </c>
      <c r="S372" s="12">
        <f t="shared" si="195"/>
        <v>10</v>
      </c>
      <c r="T372" s="12">
        <f t="shared" si="271"/>
        <v>21</v>
      </c>
      <c r="U372" s="1" t="str">
        <f>VLOOKUP(AC372,moves!A:B,2,FALSE)</f>
        <v>normal</v>
      </c>
      <c r="V372" s="2"/>
      <c r="W372" s="2"/>
      <c r="X372" s="2"/>
      <c r="Z372" s="12" t="str">
        <f t="shared" si="191"/>
        <v/>
      </c>
      <c r="AA372" t="str">
        <f>B372</f>
        <v>Porygon-Z</v>
      </c>
      <c r="AB372" s="1" t="s">
        <v>587</v>
      </c>
      <c r="AC372" s="8" t="str">
        <f>VLOOKUP(AA372,$AA$2:$AC$342,3,FALSE)</f>
        <v>Tri Attack</v>
      </c>
      <c r="AD372" s="8" t="str">
        <f>VLOOKUP(AC372,moves!A:B,2,FALSE)</f>
        <v>normal</v>
      </c>
      <c r="AE372" s="8">
        <f>VLOOKUP(AC372,moves!A:D,4,FALSE)</f>
        <v>4</v>
      </c>
      <c r="AF372" s="8" t="str">
        <f>VLOOKUP(AC372,moves!A:E,5,FALSE)</f>
        <v>If a status symbol is rolled: Roll a status dice and inflict the result on the target.</v>
      </c>
      <c r="AG372" s="6">
        <v>0</v>
      </c>
      <c r="AH372" s="6">
        <v>0</v>
      </c>
      <c r="AI372" t="s">
        <v>565</v>
      </c>
      <c r="AJ372" t="s">
        <v>479</v>
      </c>
      <c r="AK372">
        <v>1</v>
      </c>
      <c r="AL372" s="8">
        <v>1</v>
      </c>
      <c r="AM372" s="8">
        <v>0</v>
      </c>
    </row>
    <row r="373" spans="1:39" x14ac:dyDescent="0.25">
      <c r="A373" s="10" t="s">
        <v>1305</v>
      </c>
      <c r="B373" s="10" t="s">
        <v>246</v>
      </c>
      <c r="C373" s="13" t="s">
        <v>553</v>
      </c>
      <c r="D373" s="13"/>
      <c r="E373" s="10">
        <v>120</v>
      </c>
      <c r="F373" s="10">
        <v>120</v>
      </c>
      <c r="G373" s="10">
        <v>120</v>
      </c>
      <c r="H373" s="10">
        <v>120</v>
      </c>
      <c r="I373" s="10">
        <v>120</v>
      </c>
      <c r="J373" s="10">
        <v>120</v>
      </c>
      <c r="K373" s="10" t="s">
        <v>610</v>
      </c>
      <c r="M373" s="2" t="s">
        <v>554</v>
      </c>
      <c r="N373" s="9">
        <f t="shared" si="192"/>
        <v>12</v>
      </c>
      <c r="O373" s="9">
        <f t="shared" si="193"/>
        <v>12</v>
      </c>
      <c r="P373" s="9">
        <v>0</v>
      </c>
      <c r="Q373" s="9">
        <v>0</v>
      </c>
      <c r="R373" s="12">
        <f t="shared" si="194"/>
        <v>12</v>
      </c>
      <c r="S373" s="12">
        <f t="shared" si="195"/>
        <v>12</v>
      </c>
      <c r="T373" s="12">
        <f t="shared" si="271"/>
        <v>24</v>
      </c>
      <c r="V373" s="2"/>
      <c r="W373" s="2"/>
      <c r="X373" s="2"/>
      <c r="Z373" s="12" t="str">
        <f t="shared" si="191"/>
        <v/>
      </c>
      <c r="AA373" t="str">
        <f>B373</f>
        <v>Arceus</v>
      </c>
      <c r="AB373" s="1" t="s">
        <v>587</v>
      </c>
      <c r="AC373" t="s">
        <v>550</v>
      </c>
      <c r="AD373" s="8" t="str">
        <f>VLOOKUP(AC373,moves!A:B,2,FALSE)</f>
        <v>typeless</v>
      </c>
      <c r="AE373" s="8">
        <f>VLOOKUP(AC373,moves!A:D,4,FALSE)</f>
        <v>5</v>
      </c>
      <c r="AF373" s="8" t="str">
        <f>VLOOKUP(AC373,moves!A:E,5,FALSE)</f>
        <v>Choose any type, this attack becomes the chosen type.</v>
      </c>
      <c r="AG373" s="6">
        <v>0</v>
      </c>
      <c r="AH373" s="6">
        <v>0</v>
      </c>
      <c r="AI373" t="s">
        <v>565</v>
      </c>
      <c r="AJ373" t="s">
        <v>479</v>
      </c>
      <c r="AK373">
        <v>1</v>
      </c>
      <c r="AL373" s="8">
        <v>1</v>
      </c>
      <c r="AM373" s="8">
        <v>0</v>
      </c>
    </row>
  </sheetData>
  <phoneticPr fontId="18" type="noConversion"/>
  <conditionalFormatting sqref="N2:O373">
    <cfRule type="cellIs" dxfId="8" priority="57" operator="between">
      <formula>_xlfn.FLOOR.MATH(N2)+0.4</formula>
      <formula>_xlfn.FLOOR.MATH(N2)+0.6</formula>
    </cfRule>
  </conditionalFormatting>
  <conditionalFormatting sqref="P2:Q1048576">
    <cfRule type="cellIs" dxfId="7" priority="9" operator="lessThan">
      <formula>0</formula>
    </cfRule>
    <cfRule type="cellIs" dxfId="6" priority="10" operator="greaterThan">
      <formula>0</formula>
    </cfRule>
    <cfRule type="cellIs" dxfId="5" priority="11" operator="equal">
      <formula>0</formula>
    </cfRule>
  </conditionalFormatting>
  <conditionalFormatting sqref="AG1:AG1048576">
    <cfRule type="cellIs" dxfId="4" priority="8" operator="equal">
      <formula>1</formula>
    </cfRule>
  </conditionalFormatting>
  <conditionalFormatting sqref="AH1:AH1048576">
    <cfRule type="cellIs" dxfId="3" priority="7" operator="equal">
      <formula>1</formula>
    </cfRule>
  </conditionalFormatting>
  <conditionalFormatting sqref="AG1:AH1048576">
    <cfRule type="cellIs" dxfId="2" priority="6" operator="equal">
      <formula>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F625C-F9FA-42D6-A0B3-21764E3166C5}">
  <dimension ref="A1:I218"/>
  <sheetViews>
    <sheetView topLeftCell="A78" zoomScaleNormal="100" workbookViewId="0">
      <selection activeCell="E90" sqref="E90"/>
    </sheetView>
  </sheetViews>
  <sheetFormatPr defaultRowHeight="15" x14ac:dyDescent="0.25"/>
  <cols>
    <col min="1" max="1" width="21.85546875" bestFit="1" customWidth="1"/>
    <col min="2" max="2" width="8.42578125" bestFit="1" customWidth="1"/>
    <col min="3" max="3" width="9" style="2" bestFit="1" customWidth="1"/>
    <col min="4" max="4" width="8" style="1" bestFit="1" customWidth="1"/>
    <col min="5" max="5" width="100.5703125" bestFit="1" customWidth="1"/>
    <col min="6" max="6" width="6" bestFit="1" customWidth="1"/>
    <col min="7" max="7" width="9.5703125" bestFit="1" customWidth="1"/>
    <col min="8" max="8" width="9.85546875" bestFit="1" customWidth="1"/>
    <col min="9" max="9" width="8.42578125" bestFit="1" customWidth="1"/>
  </cols>
  <sheetData>
    <row r="1" spans="1:9" x14ac:dyDescent="0.25">
      <c r="A1" s="21" t="s">
        <v>512</v>
      </c>
      <c r="B1" s="21" t="s">
        <v>1251</v>
      </c>
      <c r="C1" s="22" t="s">
        <v>1281</v>
      </c>
      <c r="D1" s="22" t="s">
        <v>1252</v>
      </c>
      <c r="E1" s="21" t="s">
        <v>1280</v>
      </c>
      <c r="F1" s="21" t="s">
        <v>543</v>
      </c>
      <c r="G1" s="21" t="s">
        <v>583</v>
      </c>
      <c r="H1" s="21" t="s">
        <v>584</v>
      </c>
      <c r="I1" s="21" t="s">
        <v>591</v>
      </c>
    </row>
    <row r="2" spans="1:9" x14ac:dyDescent="0.25">
      <c r="A2" s="27" t="s">
        <v>942</v>
      </c>
      <c r="B2" s="30" t="s">
        <v>8</v>
      </c>
      <c r="C2" s="25">
        <v>20</v>
      </c>
      <c r="D2" s="25">
        <f>IF(NOT(ISBLANK(C2)), IF(ISNUMBER(C2), ROUND((C2 - 5)/20, 0), C2), "")</f>
        <v>1</v>
      </c>
      <c r="E2" s="26" t="s">
        <v>943</v>
      </c>
      <c r="F2" s="26">
        <f>COUNTIF(pokemon!$AC$2:$AC$338, A2)</f>
        <v>1</v>
      </c>
      <c r="G2" s="27" cm="1">
        <f t="array" ref="G2">MIN(IF($A2=pokemon!$AC$2:$AC$338, pokemon!$T$2:$T$338))</f>
        <v>14</v>
      </c>
      <c r="H2" s="27" cm="1">
        <f t="array" ref="H2">MAX(IF($A2=pokemon!$AC$2:$AC$338, pokemon!$T$2:$T$338))</f>
        <v>14</v>
      </c>
      <c r="I2" s="27">
        <f t="shared" ref="I2:I66" si="0">H2-G2</f>
        <v>0</v>
      </c>
    </row>
    <row r="3" spans="1:9" x14ac:dyDescent="0.25">
      <c r="A3" s="27" t="s">
        <v>902</v>
      </c>
      <c r="B3" s="44" t="s">
        <v>9</v>
      </c>
      <c r="C3" s="25">
        <v>20</v>
      </c>
      <c r="D3" s="25">
        <f>IF(NOT(ISBLANK(C3)), IF(ISNUMBER(C3), ROUND((C3 - 5)/20, 0), C3), "")</f>
        <v>1</v>
      </c>
      <c r="E3" s="26" t="s">
        <v>903</v>
      </c>
      <c r="F3" s="26">
        <f>COUNTIF(pokemon!$AC$2:$AC$338, A3)</f>
        <v>1</v>
      </c>
      <c r="G3" s="27" cm="1">
        <f t="array" ref="G3">MIN(IF($A3=pokemon!$AC$2:$AC$338, pokemon!$T$2:$T$338))</f>
        <v>10</v>
      </c>
      <c r="H3" s="27" cm="1">
        <f t="array" ref="H3">MAX(IF($A3=pokemon!$AC$2:$AC$338, pokemon!$T$2:$T$338))</f>
        <v>10</v>
      </c>
      <c r="I3" s="27">
        <f t="shared" si="0"/>
        <v>0</v>
      </c>
    </row>
    <row r="4" spans="1:9" x14ac:dyDescent="0.25">
      <c r="A4" s="26" t="s">
        <v>773</v>
      </c>
      <c r="B4" s="31" t="s">
        <v>4</v>
      </c>
      <c r="C4" s="25">
        <v>20</v>
      </c>
      <c r="D4" s="29">
        <f>IF(NOT(ISBLANK(C4)), IF(ISNUMBER(C4), ROUND((C4 - 5)/20, 0), C4), "")</f>
        <v>1</v>
      </c>
      <c r="E4" s="26" t="s">
        <v>837</v>
      </c>
      <c r="F4" s="26">
        <f>COUNTIF(pokemon!$AC$2:$AC$338, A4)</f>
        <v>1</v>
      </c>
      <c r="G4" s="26" cm="1">
        <f t="array" ref="G4">MIN(IF($A4=pokemon!$AC$2:$AC$338, pokemon!$T$2:$T$338))</f>
        <v>10</v>
      </c>
      <c r="H4" s="26" cm="1">
        <f t="array" ref="H4">MAX(IF($A4=pokemon!$AC$2:$AC$338, pokemon!$T$2:$T$338))</f>
        <v>10</v>
      </c>
      <c r="I4" s="26">
        <f t="shared" si="0"/>
        <v>0</v>
      </c>
    </row>
    <row r="5" spans="1:9" s="8" customFormat="1" x14ac:dyDescent="0.25">
      <c r="A5" s="26" t="s">
        <v>552</v>
      </c>
      <c r="B5" s="42" t="s">
        <v>42</v>
      </c>
      <c r="C5" s="25">
        <v>20</v>
      </c>
      <c r="D5" s="29">
        <f>IF(NOT(ISBLANK(C5)), IF(ISNUMBER(C5), ROUND((C5 - 5)/20, 0), C5), "")</f>
        <v>1</v>
      </c>
      <c r="E5" s="26" t="s">
        <v>838</v>
      </c>
      <c r="F5" s="26">
        <f>COUNTIF(pokemon!$AC$2:$AC$338, A5)</f>
        <v>1</v>
      </c>
      <c r="G5" s="26" cm="1">
        <f t="array" ref="G5">MIN(IF($A5=pokemon!$AC$2:$AC$338, pokemon!$T$2:$T$338))</f>
        <v>10</v>
      </c>
      <c r="H5" s="26" cm="1">
        <f t="array" ref="H5">MAX(IF($A5=pokemon!$AC$2:$AC$338, pokemon!$T$2:$T$338))</f>
        <v>10</v>
      </c>
      <c r="I5" s="26">
        <f t="shared" si="0"/>
        <v>0</v>
      </c>
    </row>
    <row r="6" spans="1:9" s="8" customFormat="1" x14ac:dyDescent="0.25">
      <c r="A6" s="27" t="s">
        <v>941</v>
      </c>
      <c r="B6" s="46" t="s">
        <v>16</v>
      </c>
      <c r="C6" s="25">
        <v>20</v>
      </c>
      <c r="D6" s="29">
        <v>1</v>
      </c>
      <c r="E6" s="26" t="s">
        <v>838</v>
      </c>
      <c r="F6" s="26">
        <f>COUNTIF(pokemon!$AC$2:$AC$338, A6)</f>
        <v>1</v>
      </c>
      <c r="G6" s="26" cm="1">
        <f t="array" ref="G6">MIN(IF($A6=pokemon!$AC$2:$AC$338, pokemon!$T$2:$T$338))</f>
        <v>8</v>
      </c>
      <c r="H6" s="26" cm="1">
        <f t="array" ref="H6">MAX(IF($A6=pokemon!$AC$2:$AC$338, pokemon!$T$2:$T$338))</f>
        <v>8</v>
      </c>
      <c r="I6" s="26">
        <f t="shared" si="0"/>
        <v>0</v>
      </c>
    </row>
    <row r="7" spans="1:9" x14ac:dyDescent="0.25">
      <c r="A7" s="26" t="s">
        <v>523</v>
      </c>
      <c r="B7" s="34" t="s">
        <v>2</v>
      </c>
      <c r="C7" s="25">
        <v>20</v>
      </c>
      <c r="D7" s="29">
        <f t="shared" ref="D7:D71" si="1">IF(NOT(ISBLANK(C7)), IF(ISNUMBER(C7), ROUND((C7 - 5)/20, 0), C7), "")</f>
        <v>1</v>
      </c>
      <c r="E7" s="26" t="s">
        <v>839</v>
      </c>
      <c r="F7" s="26">
        <f>COUNTIF(pokemon!$AC$2:$AC$338, A7)</f>
        <v>1</v>
      </c>
      <c r="G7" s="26" cm="1">
        <f t="array" ref="G7">MIN(IF($A7=pokemon!$AC$2:$AC$338, pokemon!$T$2:$T$338))</f>
        <v>10</v>
      </c>
      <c r="H7" s="26" cm="1">
        <f t="array" ref="H7">MAX(IF($A7=pokemon!$AC$2:$AC$338, pokemon!$T$2:$T$338))</f>
        <v>10</v>
      </c>
      <c r="I7" s="26">
        <f t="shared" si="0"/>
        <v>0</v>
      </c>
    </row>
    <row r="8" spans="1:9" x14ac:dyDescent="0.25">
      <c r="A8" s="27" t="s">
        <v>953</v>
      </c>
      <c r="B8" s="35" t="s">
        <v>14</v>
      </c>
      <c r="C8" s="25">
        <v>30</v>
      </c>
      <c r="D8" s="25">
        <f t="shared" si="1"/>
        <v>1</v>
      </c>
      <c r="E8" s="26" t="s">
        <v>1097</v>
      </c>
      <c r="F8" s="26">
        <f>COUNTIF(pokemon!$AC$2:$AC$338, A8)</f>
        <v>1</v>
      </c>
      <c r="G8" s="27" cm="1">
        <f t="array" ref="G8">MIN(IF($A8=pokemon!$AC$2:$AC$338, pokemon!$T$2:$T$338))</f>
        <v>11</v>
      </c>
      <c r="H8" s="27" cm="1">
        <f t="array" ref="H8">MAX(IF($A8=pokemon!$AC$2:$AC$338, pokemon!$T$2:$T$338))</f>
        <v>11</v>
      </c>
      <c r="I8" s="27">
        <f t="shared" si="0"/>
        <v>0</v>
      </c>
    </row>
    <row r="9" spans="1:9" s="8" customFormat="1" x14ac:dyDescent="0.25">
      <c r="A9" s="26" t="s">
        <v>651</v>
      </c>
      <c r="B9" s="33" t="s">
        <v>11</v>
      </c>
      <c r="C9" s="25">
        <v>20</v>
      </c>
      <c r="D9" s="29">
        <f t="shared" si="1"/>
        <v>1</v>
      </c>
      <c r="E9" s="26" t="s">
        <v>840</v>
      </c>
      <c r="F9" s="26">
        <f>COUNTIF(pokemon!$AC$2:$AC$338, A9)</f>
        <v>2</v>
      </c>
      <c r="G9" s="26" cm="1">
        <f t="array" ref="G9">MIN(IF($A9=pokemon!$AC$2:$AC$338, pokemon!$T$2:$T$338))</f>
        <v>10</v>
      </c>
      <c r="H9" s="26" cm="1">
        <f t="array" ref="H9">MAX(IF($A9=pokemon!$AC$2:$AC$338, pokemon!$T$2:$T$338))</f>
        <v>14</v>
      </c>
      <c r="I9" s="26">
        <f t="shared" si="0"/>
        <v>4</v>
      </c>
    </row>
    <row r="10" spans="1:9" x14ac:dyDescent="0.25">
      <c r="A10" s="26" t="s">
        <v>822</v>
      </c>
      <c r="B10" s="34" t="s">
        <v>2</v>
      </c>
      <c r="C10" s="25">
        <v>20</v>
      </c>
      <c r="D10" s="29">
        <f t="shared" si="1"/>
        <v>1</v>
      </c>
      <c r="E10" s="26" t="s">
        <v>840</v>
      </c>
      <c r="F10" s="26">
        <f>COUNTIF(pokemon!$AC$2:$AC$338, A10)</f>
        <v>1</v>
      </c>
      <c r="G10" s="26" cm="1">
        <f t="array" ref="G10">MIN(IF($A10=pokemon!$AC$2:$AC$338, pokemon!$T$2:$T$338))</f>
        <v>10</v>
      </c>
      <c r="H10" s="26" cm="1">
        <f t="array" ref="H10">MAX(IF($A10=pokemon!$AC$2:$AC$338, pokemon!$T$2:$T$338))</f>
        <v>10</v>
      </c>
      <c r="I10" s="26">
        <f t="shared" si="0"/>
        <v>0</v>
      </c>
    </row>
    <row r="11" spans="1:9" x14ac:dyDescent="0.25">
      <c r="A11" s="26" t="s">
        <v>496</v>
      </c>
      <c r="B11" s="36" t="s">
        <v>3</v>
      </c>
      <c r="C11" s="25">
        <v>20</v>
      </c>
      <c r="D11" s="29">
        <f t="shared" si="1"/>
        <v>1</v>
      </c>
      <c r="E11" s="26" t="s">
        <v>841</v>
      </c>
      <c r="F11" s="26">
        <f>COUNTIF(pokemon!$AC$2:$AC$338, A11)</f>
        <v>1</v>
      </c>
      <c r="G11" s="26" cm="1">
        <f t="array" ref="G11">MIN(IF($A11=pokemon!$AC$2:$AC$338, pokemon!$T$2:$T$338))</f>
        <v>14</v>
      </c>
      <c r="H11" s="26" cm="1">
        <f t="array" ref="H11">MAX(IF($A11=pokemon!$AC$2:$AC$338, pokemon!$T$2:$T$338))</f>
        <v>14</v>
      </c>
      <c r="I11" s="26">
        <f t="shared" si="0"/>
        <v>0</v>
      </c>
    </row>
    <row r="12" spans="1:9" x14ac:dyDescent="0.25">
      <c r="A12" s="27" t="s">
        <v>952</v>
      </c>
      <c r="B12" s="36" t="s">
        <v>3</v>
      </c>
      <c r="C12" s="25">
        <v>30</v>
      </c>
      <c r="D12" s="25">
        <f t="shared" si="1"/>
        <v>1</v>
      </c>
      <c r="E12" s="26" t="s">
        <v>1095</v>
      </c>
      <c r="F12" s="26">
        <f>COUNTIF(pokemon!$AC$2:$AC$338, A12)</f>
        <v>2</v>
      </c>
      <c r="G12" s="27" cm="1">
        <f t="array" ref="G12">MIN(IF($A12=pokemon!$AC$2:$AC$338, pokemon!$T$2:$T$338))</f>
        <v>10</v>
      </c>
      <c r="H12" s="27" cm="1">
        <f t="array" ref="H12">MAX(IF($A12=pokemon!$AC$2:$AC$338, pokemon!$T$2:$T$338))</f>
        <v>10</v>
      </c>
      <c r="I12" s="27">
        <f t="shared" si="0"/>
        <v>0</v>
      </c>
    </row>
    <row r="13" spans="1:9" s="8" customFormat="1" x14ac:dyDescent="0.25">
      <c r="A13" s="59" t="s">
        <v>555</v>
      </c>
      <c r="B13" s="30" t="s">
        <v>8</v>
      </c>
      <c r="C13" s="25">
        <v>20</v>
      </c>
      <c r="D13" s="29">
        <f t="shared" si="1"/>
        <v>1</v>
      </c>
      <c r="E13" s="26" t="s">
        <v>797</v>
      </c>
      <c r="F13" s="26">
        <f>COUNTIF(pokemon!$AC$2:$AC$338, A13)</f>
        <v>3</v>
      </c>
      <c r="G13" s="59" cm="1">
        <f t="array" ref="G13">MIN(IF($A13=pokemon!$AC$2:$AC$338, pokemon!$T$2:$T$338))</f>
        <v>7</v>
      </c>
      <c r="H13" s="59" cm="1">
        <f t="array" ref="H13">MAX(IF($A13=pokemon!$AC$2:$AC$338, pokemon!$T$2:$T$338))</f>
        <v>8</v>
      </c>
      <c r="I13" s="59">
        <f t="shared" si="0"/>
        <v>1</v>
      </c>
    </row>
    <row r="14" spans="1:9" s="8" customFormat="1" x14ac:dyDescent="0.25">
      <c r="A14" s="26" t="s">
        <v>544</v>
      </c>
      <c r="B14" s="39" t="s">
        <v>26</v>
      </c>
      <c r="C14" s="25">
        <v>20</v>
      </c>
      <c r="D14" s="29">
        <f t="shared" si="1"/>
        <v>1</v>
      </c>
      <c r="E14" s="26" t="s">
        <v>1096</v>
      </c>
      <c r="F14" s="26">
        <f>COUNTIF(pokemon!$AC$2:$AC$338, A14)</f>
        <v>2</v>
      </c>
      <c r="G14" s="26" cm="1">
        <f t="array" ref="G14">MIN(IF($A14=pokemon!$AC$2:$AC$338, pokemon!$T$2:$T$338))</f>
        <v>7</v>
      </c>
      <c r="H14" s="26" cm="1">
        <f t="array" ref="H14">MAX(IF($A14=pokemon!$AC$2:$AC$338, pokemon!$T$2:$T$338))</f>
        <v>12</v>
      </c>
      <c r="I14" s="26">
        <f t="shared" si="0"/>
        <v>5</v>
      </c>
    </row>
    <row r="15" spans="1:9" x14ac:dyDescent="0.25">
      <c r="A15" s="26" t="s">
        <v>548</v>
      </c>
      <c r="B15" s="30" t="s">
        <v>8</v>
      </c>
      <c r="C15" s="25">
        <v>20</v>
      </c>
      <c r="D15" s="29">
        <f t="shared" si="1"/>
        <v>1</v>
      </c>
      <c r="E15" s="26" t="s">
        <v>607</v>
      </c>
      <c r="F15" s="26">
        <f>COUNTIF(pokemon!$AC$2:$AC$338, A15)</f>
        <v>2</v>
      </c>
      <c r="G15" s="26" cm="1">
        <f t="array" ref="G15">MIN(IF($A15=pokemon!$AC$2:$AC$338, pokemon!$T$2:$T$338))</f>
        <v>10</v>
      </c>
      <c r="H15" s="26" cm="1">
        <f t="array" ref="H15">MAX(IF($A15=pokemon!$AC$2:$AC$338, pokemon!$T$2:$T$338))</f>
        <v>13</v>
      </c>
      <c r="I15" s="26">
        <f t="shared" si="0"/>
        <v>3</v>
      </c>
    </row>
    <row r="16" spans="1:9" s="8" customFormat="1" x14ac:dyDescent="0.25">
      <c r="A16" s="27" t="s">
        <v>814</v>
      </c>
      <c r="B16" s="45" t="s">
        <v>39</v>
      </c>
      <c r="C16" s="25">
        <v>20</v>
      </c>
      <c r="D16" s="29">
        <f t="shared" si="1"/>
        <v>1</v>
      </c>
      <c r="E16" s="26" t="s">
        <v>1098</v>
      </c>
      <c r="F16" s="26">
        <f>COUNTIF(pokemon!$AC$2:$AC$338, A16)</f>
        <v>1</v>
      </c>
      <c r="G16" s="27" cm="1">
        <f t="array" ref="G16">MIN(IF($A16=pokemon!$AC$2:$AC$338, pokemon!$T$2:$T$338))</f>
        <v>10</v>
      </c>
      <c r="H16" s="27" cm="1">
        <f t="array" ref="H16">MAX(IF($A16=pokemon!$AC$2:$AC$338, pokemon!$T$2:$T$338))</f>
        <v>10</v>
      </c>
      <c r="I16" s="27">
        <f t="shared" si="0"/>
        <v>0</v>
      </c>
    </row>
    <row r="17" spans="1:9" s="8" customFormat="1" x14ac:dyDescent="0.25">
      <c r="A17" s="59" t="s">
        <v>580</v>
      </c>
      <c r="B17" s="38" t="s">
        <v>5</v>
      </c>
      <c r="C17" s="25">
        <v>40</v>
      </c>
      <c r="D17" s="29">
        <f t="shared" si="1"/>
        <v>2</v>
      </c>
      <c r="E17" s="26" t="s">
        <v>844</v>
      </c>
      <c r="F17" s="26">
        <f>COUNTIF(pokemon!$AC$2:$AC$338, A17)</f>
        <v>1</v>
      </c>
      <c r="G17" s="59" cm="1">
        <f t="array" ref="G17">MIN(IF($A17=pokemon!$AC$2:$AC$338, pokemon!$T$2:$T$338))</f>
        <v>16</v>
      </c>
      <c r="H17" s="59" cm="1">
        <f t="array" ref="H17">MAX(IF($A17=pokemon!$AC$2:$AC$338, pokemon!$T$2:$T$338))</f>
        <v>16</v>
      </c>
      <c r="I17" s="59">
        <f t="shared" si="0"/>
        <v>0</v>
      </c>
    </row>
    <row r="18" spans="1:9" x14ac:dyDescent="0.25">
      <c r="A18" s="27" t="s">
        <v>955</v>
      </c>
      <c r="B18" s="39" t="s">
        <v>26</v>
      </c>
      <c r="C18" s="25">
        <v>40</v>
      </c>
      <c r="D18" s="25">
        <f t="shared" si="1"/>
        <v>2</v>
      </c>
      <c r="E18" s="27" t="s">
        <v>956</v>
      </c>
      <c r="F18" s="26">
        <f>COUNTIF(pokemon!$AC$2:$AC$338, A18)</f>
        <v>1</v>
      </c>
      <c r="G18" s="27" cm="1">
        <f t="array" ref="G18">MIN(IF($A18=pokemon!$AC$2:$AC$338, pokemon!$T$2:$T$338))</f>
        <v>12</v>
      </c>
      <c r="H18" s="27" cm="1">
        <f t="array" ref="H18">MAX(IF($A18=pokemon!$AC$2:$AC$338, pokemon!$T$2:$T$338))</f>
        <v>12</v>
      </c>
      <c r="I18" s="27">
        <f t="shared" si="0"/>
        <v>0</v>
      </c>
    </row>
    <row r="19" spans="1:9" s="8" customFormat="1" x14ac:dyDescent="0.25">
      <c r="A19" s="59" t="s">
        <v>665</v>
      </c>
      <c r="B19" s="32" t="s">
        <v>6</v>
      </c>
      <c r="C19" s="25">
        <v>40</v>
      </c>
      <c r="D19" s="29">
        <f t="shared" si="1"/>
        <v>2</v>
      </c>
      <c r="E19" s="26" t="s">
        <v>1198</v>
      </c>
      <c r="F19" s="26">
        <f>COUNTIF(pokemon!$AC$2:$AC$338, A19)</f>
        <v>1</v>
      </c>
      <c r="G19" s="59" cm="1">
        <f t="array" ref="G19">MIN(IF($A19=pokemon!$AC$2:$AC$338, pokemon!$T$2:$T$338))</f>
        <v>18</v>
      </c>
      <c r="H19" s="59" cm="1">
        <f t="array" ref="H19">MAX(IF($A19=pokemon!$AC$2:$AC$338, pokemon!$T$2:$T$338))</f>
        <v>18</v>
      </c>
      <c r="I19" s="59">
        <f t="shared" si="0"/>
        <v>0</v>
      </c>
    </row>
    <row r="20" spans="1:9" s="8" customFormat="1" x14ac:dyDescent="0.25">
      <c r="A20" s="26" t="s">
        <v>671</v>
      </c>
      <c r="B20" s="45" t="s">
        <v>39</v>
      </c>
      <c r="C20" s="25">
        <v>40</v>
      </c>
      <c r="D20" s="29">
        <f t="shared" si="1"/>
        <v>2</v>
      </c>
      <c r="E20" s="26" t="s">
        <v>1198</v>
      </c>
      <c r="F20" s="26">
        <f>COUNTIF(pokemon!$AC$2:$AC$338, A20)</f>
        <v>1</v>
      </c>
      <c r="G20" s="26" cm="1">
        <f t="array" ref="G20">MIN(IF($A20=pokemon!$AC$2:$AC$338, pokemon!$T$2:$T$338))</f>
        <v>19</v>
      </c>
      <c r="H20" s="26" cm="1">
        <f t="array" ref="H20">MAX(IF($A20=pokemon!$AC$2:$AC$338, pokemon!$T$2:$T$338))</f>
        <v>19</v>
      </c>
      <c r="I20" s="26">
        <f t="shared" si="0"/>
        <v>0</v>
      </c>
    </row>
    <row r="21" spans="1:9" x14ac:dyDescent="0.25">
      <c r="A21" s="26" t="s">
        <v>766</v>
      </c>
      <c r="B21" s="28" t="s">
        <v>22</v>
      </c>
      <c r="C21" s="25">
        <v>40</v>
      </c>
      <c r="D21" s="29">
        <f t="shared" si="1"/>
        <v>2</v>
      </c>
      <c r="E21" s="26" t="s">
        <v>1198</v>
      </c>
      <c r="F21" s="26">
        <f>COUNTIF(pokemon!$AC$2:$AC$338, A21)</f>
        <v>1</v>
      </c>
      <c r="G21" s="26" cm="1">
        <f t="array" ref="G21">MIN(IF($A21=pokemon!$AC$2:$AC$338, pokemon!$T$2:$T$338))</f>
        <v>14</v>
      </c>
      <c r="H21" s="26" cm="1">
        <f t="array" ref="H21">MAX(IF($A21=pokemon!$AC$2:$AC$338, pokemon!$T$2:$T$338))</f>
        <v>14</v>
      </c>
      <c r="I21" s="26">
        <f t="shared" si="0"/>
        <v>0</v>
      </c>
    </row>
    <row r="22" spans="1:9" x14ac:dyDescent="0.25">
      <c r="A22" s="26" t="s">
        <v>772</v>
      </c>
      <c r="B22" s="30" t="s">
        <v>8</v>
      </c>
      <c r="C22" s="25">
        <v>40</v>
      </c>
      <c r="D22" s="29">
        <f t="shared" si="1"/>
        <v>2</v>
      </c>
      <c r="E22" s="26" t="s">
        <v>1198</v>
      </c>
      <c r="F22" s="26">
        <f>COUNTIF(pokemon!$AC$2:$AC$338, A22)</f>
        <v>1</v>
      </c>
      <c r="G22" s="26" cm="1">
        <f t="array" ref="G22">MIN(IF($A22=pokemon!$AC$2:$AC$338, pokemon!$T$2:$T$338))</f>
        <v>11</v>
      </c>
      <c r="H22" s="26" cm="1">
        <f t="array" ref="H22">MAX(IF($A22=pokemon!$AC$2:$AC$338, pokemon!$T$2:$T$338))</f>
        <v>11</v>
      </c>
      <c r="I22" s="26">
        <f t="shared" si="0"/>
        <v>0</v>
      </c>
    </row>
    <row r="23" spans="1:9" x14ac:dyDescent="0.25">
      <c r="A23" s="27" t="s">
        <v>895</v>
      </c>
      <c r="B23" s="42" t="s">
        <v>42</v>
      </c>
      <c r="C23" s="25">
        <v>40</v>
      </c>
      <c r="D23" s="25">
        <f t="shared" si="1"/>
        <v>2</v>
      </c>
      <c r="E23" s="26" t="s">
        <v>1198</v>
      </c>
      <c r="F23" s="26">
        <f>COUNTIF(pokemon!$AC$2:$AC$338, A23)</f>
        <v>2</v>
      </c>
      <c r="G23" s="27" cm="1">
        <f t="array" ref="G23">MIN(IF($A23=pokemon!$AC$2:$AC$338, pokemon!$T$2:$T$338))</f>
        <v>11</v>
      </c>
      <c r="H23" s="27" cm="1">
        <f t="array" ref="H23">MAX(IF($A23=pokemon!$AC$2:$AC$338, pokemon!$T$2:$T$338))</f>
        <v>15</v>
      </c>
      <c r="I23" s="27">
        <f t="shared" si="0"/>
        <v>4</v>
      </c>
    </row>
    <row r="24" spans="1:9" x14ac:dyDescent="0.25">
      <c r="A24" s="59" t="s">
        <v>531</v>
      </c>
      <c r="B24" s="28" t="s">
        <v>22</v>
      </c>
      <c r="C24" s="25">
        <v>50</v>
      </c>
      <c r="D24" s="29">
        <f t="shared" si="1"/>
        <v>2</v>
      </c>
      <c r="E24" s="26" t="s">
        <v>834</v>
      </c>
      <c r="F24" s="26">
        <f>COUNTIF(pokemon!$AC$2:$AC$338, A24)</f>
        <v>2</v>
      </c>
      <c r="G24" s="59" cm="1">
        <f t="array" ref="G24">MIN(IF($A24=pokemon!$AC$2:$AC$338, pokemon!$T$2:$T$338))</f>
        <v>10</v>
      </c>
      <c r="H24" s="59" cm="1">
        <f t="array" ref="H24">MAX(IF($A24=pokemon!$AC$2:$AC$338, pokemon!$T$2:$T$338))</f>
        <v>10</v>
      </c>
      <c r="I24" s="59">
        <f t="shared" si="0"/>
        <v>0</v>
      </c>
    </row>
    <row r="25" spans="1:9" x14ac:dyDescent="0.25">
      <c r="A25" s="26" t="s">
        <v>521</v>
      </c>
      <c r="B25" s="30" t="s">
        <v>8</v>
      </c>
      <c r="C25" s="25">
        <v>40</v>
      </c>
      <c r="D25" s="29">
        <f t="shared" si="1"/>
        <v>2</v>
      </c>
      <c r="E25" s="26" t="s">
        <v>1316</v>
      </c>
      <c r="F25" s="26">
        <f>COUNTIF(pokemon!$AC$2:$AC$338, A25)</f>
        <v>1</v>
      </c>
      <c r="G25" s="26" cm="1">
        <f t="array" ref="G25">MIN(IF($A25=pokemon!$AC$2:$AC$338, pokemon!$T$2:$T$338))</f>
        <v>16</v>
      </c>
      <c r="H25" s="26" cm="1">
        <f t="array" ref="H25">MAX(IF($A25=pokemon!$AC$2:$AC$338, pokemon!$T$2:$T$338))</f>
        <v>16</v>
      </c>
      <c r="I25" s="26">
        <f t="shared" si="0"/>
        <v>0</v>
      </c>
    </row>
    <row r="26" spans="1:9" x14ac:dyDescent="0.25">
      <c r="A26" s="26" t="s">
        <v>526</v>
      </c>
      <c r="B26" s="30" t="s">
        <v>8</v>
      </c>
      <c r="C26" s="25">
        <v>40</v>
      </c>
      <c r="D26" s="29">
        <f t="shared" si="1"/>
        <v>2</v>
      </c>
      <c r="E26" s="27" t="s">
        <v>1331</v>
      </c>
      <c r="F26" s="26">
        <f>COUNTIF(pokemon!$AC$2:$AC$338, A26)</f>
        <v>1</v>
      </c>
      <c r="G26" s="26" cm="1">
        <f t="array" ref="G26">MIN(IF($A26=pokemon!$AC$2:$AC$338, pokemon!$T$2:$T$338))</f>
        <v>15</v>
      </c>
      <c r="H26" s="26" cm="1">
        <f t="array" ref="H26">MAX(IF($A26=pokemon!$AC$2:$AC$338, pokemon!$T$2:$T$338))</f>
        <v>15</v>
      </c>
      <c r="I26" s="26">
        <f t="shared" si="0"/>
        <v>0</v>
      </c>
    </row>
    <row r="27" spans="1:9" x14ac:dyDescent="0.25">
      <c r="A27" s="26" t="s">
        <v>714</v>
      </c>
      <c r="B27" s="30" t="s">
        <v>8</v>
      </c>
      <c r="C27" s="25">
        <v>40</v>
      </c>
      <c r="D27" s="29">
        <f t="shared" si="1"/>
        <v>2</v>
      </c>
      <c r="E27" s="59" t="s">
        <v>889</v>
      </c>
      <c r="F27" s="26">
        <f>COUNTIF(pokemon!$AC$2:$AC$338, A27)</f>
        <v>1</v>
      </c>
      <c r="G27" s="26" cm="1">
        <f t="array" ref="G27">MIN(IF($A27=pokemon!$AC$2:$AC$338, pokemon!$T$2:$T$338))</f>
        <v>8</v>
      </c>
      <c r="H27" s="26" cm="1">
        <f t="array" ref="H27">MAX(IF($A27=pokemon!$AC$2:$AC$338, pokemon!$T$2:$T$338))</f>
        <v>8</v>
      </c>
      <c r="I27" s="26">
        <f t="shared" si="0"/>
        <v>0</v>
      </c>
    </row>
    <row r="28" spans="1:9" x14ac:dyDescent="0.25">
      <c r="A28" s="26" t="s">
        <v>536</v>
      </c>
      <c r="B28" s="41" t="s">
        <v>33</v>
      </c>
      <c r="C28" s="25">
        <v>40</v>
      </c>
      <c r="D28" s="29">
        <f t="shared" si="1"/>
        <v>2</v>
      </c>
      <c r="E28" s="26" t="s">
        <v>835</v>
      </c>
      <c r="F28" s="26">
        <f>COUNTIF(pokemon!$AC$2:$AC$338, A28)</f>
        <v>2</v>
      </c>
      <c r="G28" s="26" cm="1">
        <f t="array" ref="G28">MIN(IF($A28=pokemon!$AC$2:$AC$338, pokemon!$T$2:$T$338))</f>
        <v>10</v>
      </c>
      <c r="H28" s="26" cm="1">
        <f t="array" ref="H28">MAX(IF($A28=pokemon!$AC$2:$AC$338, pokemon!$T$2:$T$338))</f>
        <v>13</v>
      </c>
      <c r="I28" s="26">
        <f t="shared" si="0"/>
        <v>3</v>
      </c>
    </row>
    <row r="29" spans="1:9" s="8" customFormat="1" x14ac:dyDescent="0.25">
      <c r="A29" s="27" t="s">
        <v>1318</v>
      </c>
      <c r="B29" s="34" t="s">
        <v>2</v>
      </c>
      <c r="C29" s="25">
        <v>40</v>
      </c>
      <c r="D29" s="25">
        <f t="shared" si="1"/>
        <v>2</v>
      </c>
      <c r="E29" s="27" t="s">
        <v>1332</v>
      </c>
      <c r="F29" s="59">
        <f>COUNTIF(pokemon!$AC$2:$AC$338, A29)</f>
        <v>1</v>
      </c>
      <c r="G29" s="27" cm="1">
        <f t="array" ref="G29">MIN(IF($A29=pokemon!$AC$2:$AC$338, pokemon!$T$2:$T$338))</f>
        <v>15</v>
      </c>
      <c r="H29" s="27" cm="1">
        <f t="array" ref="H29">MAX(IF($A29=pokemon!$AC$2:$AC$338, pokemon!$T$2:$T$338))</f>
        <v>15</v>
      </c>
      <c r="I29" s="27">
        <f t="shared" si="0"/>
        <v>0</v>
      </c>
    </row>
    <row r="30" spans="1:9" x14ac:dyDescent="0.25">
      <c r="A30" s="27" t="s">
        <v>937</v>
      </c>
      <c r="B30" s="34" t="s">
        <v>2</v>
      </c>
      <c r="C30" s="25">
        <v>120</v>
      </c>
      <c r="D30" s="25">
        <f t="shared" si="1"/>
        <v>6</v>
      </c>
      <c r="E30" s="59" t="s">
        <v>1242</v>
      </c>
      <c r="F30" s="26">
        <f>COUNTIF(pokemon!$AC$2:$AC$338, A30)</f>
        <v>1</v>
      </c>
      <c r="G30" s="27" cm="1">
        <f t="array" ref="G30">MIN(IF($A30=pokemon!$AC$2:$AC$338, pokemon!$T$2:$T$338))</f>
        <v>18</v>
      </c>
      <c r="H30" s="27" cm="1">
        <f t="array" ref="H30">MAX(IF($A30=pokemon!$AC$2:$AC$338, pokemon!$T$2:$T$338))</f>
        <v>18</v>
      </c>
      <c r="I30" s="27">
        <f t="shared" si="0"/>
        <v>0</v>
      </c>
    </row>
    <row r="31" spans="1:9" s="8" customFormat="1" x14ac:dyDescent="0.25">
      <c r="A31" s="26" t="s">
        <v>630</v>
      </c>
      <c r="B31" s="30" t="s">
        <v>8</v>
      </c>
      <c r="C31" s="25">
        <v>40</v>
      </c>
      <c r="D31" s="29">
        <f t="shared" si="1"/>
        <v>2</v>
      </c>
      <c r="E31" s="26" t="s">
        <v>880</v>
      </c>
      <c r="F31" s="26">
        <f>COUNTIF(pokemon!$AC$2:$AC$338, A31)</f>
        <v>1</v>
      </c>
      <c r="G31" s="26" cm="1">
        <f t="array" ref="G31">MIN(IF($A31=pokemon!$AC$2:$AC$338, pokemon!$T$2:$T$338))</f>
        <v>16</v>
      </c>
      <c r="H31" s="26" cm="1">
        <f t="array" ref="H31">MAX(IF($A31=pokemon!$AC$2:$AC$338, pokemon!$T$2:$T$338))</f>
        <v>16</v>
      </c>
      <c r="I31" s="26">
        <f t="shared" si="0"/>
        <v>0</v>
      </c>
    </row>
    <row r="32" spans="1:9" s="8" customFormat="1" x14ac:dyDescent="0.25">
      <c r="A32" s="27" t="s">
        <v>911</v>
      </c>
      <c r="B32" s="36" t="s">
        <v>3</v>
      </c>
      <c r="C32" s="25">
        <v>40</v>
      </c>
      <c r="D32" s="25">
        <f t="shared" si="1"/>
        <v>2</v>
      </c>
      <c r="E32" s="26" t="s">
        <v>1268</v>
      </c>
      <c r="F32" s="26">
        <f>COUNTIF(pokemon!$AC$2:$AC$338, A32)</f>
        <v>1</v>
      </c>
      <c r="G32" s="27" cm="1">
        <f t="array" ref="G32">MIN(IF($A32=pokemon!$AC$2:$AC$338, pokemon!$T$2:$T$338))</f>
        <v>14</v>
      </c>
      <c r="H32" s="27" cm="1">
        <f t="array" ref="H32">MAX(IF($A32=pokemon!$AC$2:$AC$338, pokemon!$T$2:$T$338))</f>
        <v>14</v>
      </c>
      <c r="I32" s="27">
        <f t="shared" si="0"/>
        <v>0</v>
      </c>
    </row>
    <row r="33" spans="1:9" s="8" customFormat="1" x14ac:dyDescent="0.25">
      <c r="A33" s="27" t="s">
        <v>910</v>
      </c>
      <c r="B33" s="33" t="s">
        <v>11</v>
      </c>
      <c r="C33" s="25">
        <v>40</v>
      </c>
      <c r="D33" s="25">
        <f t="shared" si="1"/>
        <v>2</v>
      </c>
      <c r="E33" s="26" t="s">
        <v>912</v>
      </c>
      <c r="F33" s="26">
        <f>COUNTIF(pokemon!$AC$2:$AC$338, A33)</f>
        <v>1</v>
      </c>
      <c r="G33" s="27" cm="1">
        <f t="array" ref="G33">MIN(IF($A33=pokemon!$AC$2:$AC$338, pokemon!$T$2:$T$338))</f>
        <v>17</v>
      </c>
      <c r="H33" s="27" cm="1">
        <f t="array" ref="H33">MAX(IF($A33=pokemon!$AC$2:$AC$338, pokemon!$T$2:$T$338))</f>
        <v>17</v>
      </c>
      <c r="I33" s="27">
        <f t="shared" si="0"/>
        <v>0</v>
      </c>
    </row>
    <row r="34" spans="1:9" s="8" customFormat="1" x14ac:dyDescent="0.25">
      <c r="A34" s="27" t="s">
        <v>883</v>
      </c>
      <c r="B34" s="31" t="s">
        <v>4</v>
      </c>
      <c r="C34" s="25">
        <v>40</v>
      </c>
      <c r="D34" s="25">
        <f t="shared" si="1"/>
        <v>2</v>
      </c>
      <c r="E34" s="26" t="s">
        <v>700</v>
      </c>
      <c r="F34" s="26">
        <f>COUNTIF(pokemon!$AC$2:$AC$338, A34)</f>
        <v>2</v>
      </c>
      <c r="G34" s="27" cm="1">
        <f t="array" ref="G34">MIN(IF($A34=pokemon!$AC$2:$AC$338, pokemon!$T$2:$T$338))</f>
        <v>10</v>
      </c>
      <c r="H34" s="27" cm="1">
        <f t="array" ref="H34">MAX(IF($A34=pokemon!$AC$2:$AC$338, pokemon!$T$2:$T$338))</f>
        <v>11</v>
      </c>
      <c r="I34" s="27">
        <f t="shared" si="0"/>
        <v>1</v>
      </c>
    </row>
    <row r="35" spans="1:9" s="8" customFormat="1" x14ac:dyDescent="0.25">
      <c r="A35" s="26" t="s">
        <v>499</v>
      </c>
      <c r="B35" s="39" t="s">
        <v>26</v>
      </c>
      <c r="C35" s="25">
        <v>40</v>
      </c>
      <c r="D35" s="29">
        <f t="shared" si="1"/>
        <v>2</v>
      </c>
      <c r="E35" s="26" t="s">
        <v>653</v>
      </c>
      <c r="F35" s="26">
        <f>COUNTIF(pokemon!$AC$2:$AC$338, A35)</f>
        <v>5</v>
      </c>
      <c r="G35" s="26" cm="1">
        <f t="array" ref="G35">MIN(IF($A35=pokemon!$AC$2:$AC$338, pokemon!$T$2:$T$338))</f>
        <v>9</v>
      </c>
      <c r="H35" s="26" cm="1">
        <f t="array" ref="H35">MAX(IF($A35=pokemon!$AC$2:$AC$338, pokemon!$T$2:$T$338))</f>
        <v>11</v>
      </c>
      <c r="I35" s="26">
        <f t="shared" si="0"/>
        <v>2</v>
      </c>
    </row>
    <row r="36" spans="1:9" s="8" customFormat="1" x14ac:dyDescent="0.25">
      <c r="A36" s="26" t="s">
        <v>809</v>
      </c>
      <c r="B36" s="34" t="s">
        <v>2</v>
      </c>
      <c r="C36" s="25">
        <v>40</v>
      </c>
      <c r="D36" s="29">
        <f t="shared" si="1"/>
        <v>2</v>
      </c>
      <c r="E36" s="26" t="s">
        <v>760</v>
      </c>
      <c r="F36" s="26">
        <f>COUNTIF(pokemon!$AC$2:$AC$338, A36)</f>
        <v>2</v>
      </c>
      <c r="G36" s="26" cm="1">
        <f t="array" ref="G36">MIN(IF($A36=pokemon!$AC$2:$AC$338, pokemon!$T$2:$T$338))</f>
        <v>10</v>
      </c>
      <c r="H36" s="26" cm="1">
        <f t="array" ref="H36">MAX(IF($A36=pokemon!$AC$2:$AC$338, pokemon!$T$2:$T$338))</f>
        <v>10</v>
      </c>
      <c r="I36" s="26">
        <f t="shared" si="0"/>
        <v>0</v>
      </c>
    </row>
    <row r="37" spans="1:9" s="8" customFormat="1" x14ac:dyDescent="0.25">
      <c r="A37" s="27" t="s">
        <v>1245</v>
      </c>
      <c r="B37" s="30" t="s">
        <v>8</v>
      </c>
      <c r="C37" s="25">
        <v>40</v>
      </c>
      <c r="D37" s="25">
        <f t="shared" si="1"/>
        <v>2</v>
      </c>
      <c r="E37" s="26" t="s">
        <v>760</v>
      </c>
      <c r="F37" s="26">
        <f>COUNTIF(pokemon!$AC$2:$AC$338, A37)</f>
        <v>1</v>
      </c>
      <c r="G37" s="27" cm="1">
        <f t="array" ref="G37">MIN(IF($A37=pokemon!$AC$2:$AC$338, pokemon!$T$2:$T$338))</f>
        <v>10</v>
      </c>
      <c r="H37" s="27" cm="1">
        <f t="array" ref="H37">MAX(IF($A37=pokemon!$AC$2:$AC$338, pokemon!$T$2:$T$338))</f>
        <v>10</v>
      </c>
      <c r="I37" s="27">
        <f t="shared" si="0"/>
        <v>0</v>
      </c>
    </row>
    <row r="38" spans="1:9" s="8" customFormat="1" x14ac:dyDescent="0.25">
      <c r="A38" s="26" t="s">
        <v>493</v>
      </c>
      <c r="B38" s="35" t="s">
        <v>14</v>
      </c>
      <c r="C38" s="25">
        <v>40</v>
      </c>
      <c r="D38" s="29">
        <f t="shared" si="1"/>
        <v>2</v>
      </c>
      <c r="E38" s="26" t="s">
        <v>763</v>
      </c>
      <c r="F38" s="26">
        <f>COUNTIF(pokemon!$AC$2:$AC$338, A38)</f>
        <v>2</v>
      </c>
      <c r="G38" s="26" cm="1">
        <f t="array" ref="G38">MIN(IF($A38=pokemon!$AC$2:$AC$338, pokemon!$T$2:$T$338))</f>
        <v>10</v>
      </c>
      <c r="H38" s="26" cm="1">
        <f t="array" ref="H38">MAX(IF($A38=pokemon!$AC$2:$AC$338, pokemon!$T$2:$T$338))</f>
        <v>11</v>
      </c>
      <c r="I38" s="26">
        <f t="shared" si="0"/>
        <v>1</v>
      </c>
    </row>
    <row r="39" spans="1:9" x14ac:dyDescent="0.25">
      <c r="A39" s="26" t="s">
        <v>1144</v>
      </c>
      <c r="B39" s="42" t="s">
        <v>42</v>
      </c>
      <c r="C39" s="25">
        <v>40</v>
      </c>
      <c r="D39" s="29">
        <f t="shared" si="1"/>
        <v>2</v>
      </c>
      <c r="E39" s="26" t="s">
        <v>827</v>
      </c>
      <c r="F39" s="26">
        <f>COUNTIF(pokemon!$AC$2:$AC$338, A39)</f>
        <v>1</v>
      </c>
      <c r="G39" s="26" cm="1">
        <f t="array" ref="G39">MIN(IF($A39=pokemon!$AC$2:$AC$338, pokemon!$T$2:$T$338))</f>
        <v>12</v>
      </c>
      <c r="H39" s="26" cm="1">
        <f t="array" ref="H39">MAX(IF($A39=pokemon!$AC$2:$AC$338, pokemon!$T$2:$T$338))</f>
        <v>12</v>
      </c>
      <c r="I39" s="26">
        <f t="shared" si="0"/>
        <v>0</v>
      </c>
    </row>
    <row r="40" spans="1:9" s="8" customFormat="1" x14ac:dyDescent="0.25">
      <c r="A40" s="26" t="s">
        <v>577</v>
      </c>
      <c r="B40" s="33" t="s">
        <v>11</v>
      </c>
      <c r="C40" s="25">
        <v>40</v>
      </c>
      <c r="D40" s="29">
        <f t="shared" si="1"/>
        <v>2</v>
      </c>
      <c r="E40" s="26" t="s">
        <v>827</v>
      </c>
      <c r="F40" s="26">
        <f>COUNTIF(pokemon!$AC$2:$AC$338, A40)</f>
        <v>2</v>
      </c>
      <c r="G40" s="26" cm="1">
        <f t="array" ref="G40">MIN(IF($A40=pokemon!$AC$2:$AC$338, pokemon!$T$2:$T$338))</f>
        <v>12</v>
      </c>
      <c r="H40" s="26" cm="1">
        <f t="array" ref="H40">MAX(IF($A40=pokemon!$AC$2:$AC$338, pokemon!$T$2:$T$338))</f>
        <v>13</v>
      </c>
      <c r="I40" s="26">
        <f t="shared" si="0"/>
        <v>1</v>
      </c>
    </row>
    <row r="41" spans="1:9" s="8" customFormat="1" x14ac:dyDescent="0.25">
      <c r="A41" s="59" t="s">
        <v>597</v>
      </c>
      <c r="B41" s="43" t="s">
        <v>67</v>
      </c>
      <c r="C41" s="25">
        <v>45</v>
      </c>
      <c r="D41" s="29">
        <f t="shared" si="1"/>
        <v>2</v>
      </c>
      <c r="E41" s="59" t="s">
        <v>827</v>
      </c>
      <c r="F41" s="26">
        <f>COUNTIF(pokemon!$AC$2:$AC$338, A41)</f>
        <v>1</v>
      </c>
      <c r="G41" s="59" cm="1">
        <f t="array" ref="G41">MIN(IF($A41=pokemon!$AC$2:$AC$338, pokemon!$T$2:$T$338))</f>
        <v>10</v>
      </c>
      <c r="H41" s="59" cm="1">
        <f t="array" ref="H41">MAX(IF($A41=pokemon!$AC$2:$AC$338, pokemon!$T$2:$T$338))</f>
        <v>10</v>
      </c>
      <c r="I41" s="59">
        <f t="shared" si="0"/>
        <v>0</v>
      </c>
    </row>
    <row r="42" spans="1:9" s="8" customFormat="1" x14ac:dyDescent="0.25">
      <c r="A42" s="26" t="s">
        <v>679</v>
      </c>
      <c r="B42" s="36" t="s">
        <v>3</v>
      </c>
      <c r="C42" s="25">
        <v>50</v>
      </c>
      <c r="D42" s="29">
        <f t="shared" si="1"/>
        <v>2</v>
      </c>
      <c r="E42" s="26" t="s">
        <v>680</v>
      </c>
      <c r="F42" s="26">
        <f>COUNTIF(pokemon!$AC$2:$AC$338, A42)</f>
        <v>1</v>
      </c>
      <c r="G42" s="26" cm="1">
        <f t="array" ref="G42">MIN(IF($A42=pokemon!$AC$2:$AC$338, pokemon!$T$2:$T$338))</f>
        <v>9</v>
      </c>
      <c r="H42" s="26" cm="1">
        <f t="array" ref="H42">MAX(IF($A42=pokemon!$AC$2:$AC$338, pokemon!$T$2:$T$338))</f>
        <v>9</v>
      </c>
      <c r="I42" s="26">
        <f t="shared" si="0"/>
        <v>0</v>
      </c>
    </row>
    <row r="43" spans="1:9" s="8" customFormat="1" x14ac:dyDescent="0.25">
      <c r="A43" s="27" t="s">
        <v>936</v>
      </c>
      <c r="B43" s="30" t="s">
        <v>8</v>
      </c>
      <c r="C43" s="25">
        <v>40</v>
      </c>
      <c r="D43" s="25">
        <f t="shared" si="1"/>
        <v>2</v>
      </c>
      <c r="E43" s="27" t="s">
        <v>954</v>
      </c>
      <c r="F43" s="26">
        <f>COUNTIF(pokemon!$AC$2:$AC$338, A43)</f>
        <v>1</v>
      </c>
      <c r="G43" s="27" cm="1">
        <f t="array" ref="G43">MIN(IF($A43=pokemon!$AC$2:$AC$338, pokemon!$T$2:$T$338))</f>
        <v>9</v>
      </c>
      <c r="H43" s="27" cm="1">
        <f t="array" ref="H43">MAX(IF($A43=pokemon!$AC$2:$AC$338, pokemon!$T$2:$T$338))</f>
        <v>9</v>
      </c>
      <c r="I43" s="27">
        <f t="shared" si="0"/>
        <v>0</v>
      </c>
    </row>
    <row r="44" spans="1:9" s="8" customFormat="1" x14ac:dyDescent="0.25">
      <c r="A44" s="59" t="s">
        <v>468</v>
      </c>
      <c r="B44" s="30" t="s">
        <v>8</v>
      </c>
      <c r="C44" s="25">
        <v>35</v>
      </c>
      <c r="D44" s="29">
        <f t="shared" si="1"/>
        <v>2</v>
      </c>
      <c r="E44" s="26" t="s">
        <v>800</v>
      </c>
      <c r="F44" s="26">
        <f>COUNTIF(pokemon!$AC$2:$AC$338, A44)</f>
        <v>1</v>
      </c>
      <c r="G44" s="59" cm="1">
        <f t="array" ref="G44">MIN(IF($A44=pokemon!$AC$2:$AC$338, pokemon!$T$2:$T$338))</f>
        <v>13</v>
      </c>
      <c r="H44" s="59" cm="1">
        <f t="array" ref="H44">MAX(IF($A44=pokemon!$AC$2:$AC$338, pokemon!$T$2:$T$338))</f>
        <v>13</v>
      </c>
      <c r="I44" s="59">
        <f t="shared" si="0"/>
        <v>0</v>
      </c>
    </row>
    <row r="45" spans="1:9" s="8" customFormat="1" x14ac:dyDescent="0.25">
      <c r="A45" s="59" t="s">
        <v>528</v>
      </c>
      <c r="B45" s="37" t="s">
        <v>13</v>
      </c>
      <c r="C45" s="25">
        <v>35</v>
      </c>
      <c r="D45" s="29">
        <f t="shared" si="1"/>
        <v>2</v>
      </c>
      <c r="E45" s="26" t="s">
        <v>716</v>
      </c>
      <c r="F45" s="26">
        <f>COUNTIF(pokemon!$AC$2:$AC$338, A45)</f>
        <v>2</v>
      </c>
      <c r="G45" s="59" cm="1">
        <f t="array" ref="G45">MIN(IF($A45=pokemon!$AC$2:$AC$338, pokemon!$T$2:$T$338))</f>
        <v>10</v>
      </c>
      <c r="H45" s="59" cm="1">
        <f t="array" ref="H45">MAX(IF($A45=pokemon!$AC$2:$AC$338, pokemon!$T$2:$T$338))</f>
        <v>11</v>
      </c>
      <c r="I45" s="59">
        <f t="shared" si="0"/>
        <v>1</v>
      </c>
    </row>
    <row r="46" spans="1:9" s="8" customFormat="1" x14ac:dyDescent="0.25">
      <c r="A46" s="27" t="s">
        <v>916</v>
      </c>
      <c r="B46" s="39" t="s">
        <v>26</v>
      </c>
      <c r="C46" s="25">
        <v>40</v>
      </c>
      <c r="D46" s="25">
        <f t="shared" si="1"/>
        <v>2</v>
      </c>
      <c r="E46" s="26" t="s">
        <v>918</v>
      </c>
      <c r="F46" s="26">
        <f>COUNTIF(pokemon!$AC$2:$AC$338, A46)</f>
        <v>1</v>
      </c>
      <c r="G46" s="27" cm="1">
        <f t="array" ref="G46">MIN(IF($A46=pokemon!$AC$2:$AC$338, pokemon!$T$2:$T$338))</f>
        <v>12</v>
      </c>
      <c r="H46" s="27" cm="1">
        <f t="array" ref="H46">MAX(IF($A46=pokemon!$AC$2:$AC$338, pokemon!$T$2:$T$338))</f>
        <v>12</v>
      </c>
      <c r="I46" s="27">
        <f t="shared" si="0"/>
        <v>0</v>
      </c>
    </row>
    <row r="47" spans="1:9" x14ac:dyDescent="0.25">
      <c r="A47" s="27" t="s">
        <v>922</v>
      </c>
      <c r="B47" s="46" t="s">
        <v>16</v>
      </c>
      <c r="C47" s="25">
        <v>40</v>
      </c>
      <c r="D47" s="25">
        <f t="shared" si="1"/>
        <v>2</v>
      </c>
      <c r="E47" s="26" t="s">
        <v>930</v>
      </c>
      <c r="F47" s="26">
        <f>COUNTIF(pokemon!$AC$2:$AC$338, A47)</f>
        <v>1</v>
      </c>
      <c r="G47" s="27" cm="1">
        <f t="array" ref="G47">MIN(IF($A47=pokemon!$AC$2:$AC$338, pokemon!$T$2:$T$338))</f>
        <v>14</v>
      </c>
      <c r="H47" s="27" cm="1">
        <f t="array" ref="H47">MAX(IF($A47=pokemon!$AC$2:$AC$338, pokemon!$T$2:$T$338))</f>
        <v>14</v>
      </c>
      <c r="I47" s="27">
        <f t="shared" si="0"/>
        <v>0</v>
      </c>
    </row>
    <row r="48" spans="1:9" s="8" customFormat="1" x14ac:dyDescent="0.25">
      <c r="A48" s="27" t="s">
        <v>909</v>
      </c>
      <c r="B48" s="33" t="s">
        <v>11</v>
      </c>
      <c r="C48" s="25">
        <v>50</v>
      </c>
      <c r="D48" s="25">
        <f t="shared" si="1"/>
        <v>2</v>
      </c>
      <c r="E48" s="26" t="s">
        <v>782</v>
      </c>
      <c r="F48" s="26">
        <f>COUNTIF(pokemon!$AC$2:$AC$338, A48)</f>
        <v>1</v>
      </c>
      <c r="G48" s="27" cm="1">
        <f t="array" ref="G48">MIN(IF($A48=pokemon!$AC$2:$AC$338, pokemon!$T$2:$T$338))</f>
        <v>10</v>
      </c>
      <c r="H48" s="27" cm="1">
        <f t="array" ref="H48">MAX(IF($A48=pokemon!$AC$2:$AC$338, pokemon!$T$2:$T$338))</f>
        <v>10</v>
      </c>
      <c r="I48" s="27">
        <f t="shared" si="0"/>
        <v>0</v>
      </c>
    </row>
    <row r="49" spans="1:9" s="8" customFormat="1" x14ac:dyDescent="0.25">
      <c r="A49" s="26" t="s">
        <v>780</v>
      </c>
      <c r="B49" s="38" t="s">
        <v>5</v>
      </c>
      <c r="C49" s="25">
        <v>35</v>
      </c>
      <c r="D49" s="29">
        <f t="shared" si="1"/>
        <v>2</v>
      </c>
      <c r="E49" s="26" t="s">
        <v>782</v>
      </c>
      <c r="F49" s="26">
        <f>COUNTIF(pokemon!$AC$2:$AC$338, A49)</f>
        <v>1</v>
      </c>
      <c r="G49" s="26" cm="1">
        <f t="array" ref="G49">MIN(IF($A49=pokemon!$AC$2:$AC$338, pokemon!$T$2:$T$338))</f>
        <v>10</v>
      </c>
      <c r="H49" s="26" cm="1">
        <f t="array" ref="H49">MAX(IF($A49=pokemon!$AC$2:$AC$338, pokemon!$T$2:$T$338))</f>
        <v>10</v>
      </c>
      <c r="I49" s="26">
        <f t="shared" si="0"/>
        <v>0</v>
      </c>
    </row>
    <row r="50" spans="1:9" s="8" customFormat="1" x14ac:dyDescent="0.25">
      <c r="A50" s="26" t="s">
        <v>661</v>
      </c>
      <c r="B50" s="41" t="s">
        <v>33</v>
      </c>
      <c r="C50" s="25">
        <v>50</v>
      </c>
      <c r="D50" s="29">
        <f t="shared" si="1"/>
        <v>2</v>
      </c>
      <c r="E50" s="26" t="s">
        <v>762</v>
      </c>
      <c r="F50" s="26">
        <f>COUNTIF(pokemon!$AC$2:$AC$338, A50)</f>
        <v>2</v>
      </c>
      <c r="G50" s="26" cm="1">
        <f t="array" ref="G50">MIN(IF($A50=pokemon!$AC$2:$AC$338, pokemon!$T$2:$T$338))</f>
        <v>11</v>
      </c>
      <c r="H50" s="26" cm="1">
        <f t="array" ref="H50">MAX(IF($A50=pokemon!$AC$2:$AC$338, pokemon!$T$2:$T$338))</f>
        <v>13</v>
      </c>
      <c r="I50" s="26">
        <f t="shared" si="0"/>
        <v>2</v>
      </c>
    </row>
    <row r="51" spans="1:9" x14ac:dyDescent="0.25">
      <c r="A51" s="59" t="s">
        <v>617</v>
      </c>
      <c r="B51" s="32" t="s">
        <v>6</v>
      </c>
      <c r="C51" s="25">
        <v>40</v>
      </c>
      <c r="D51" s="29">
        <f t="shared" si="1"/>
        <v>2</v>
      </c>
      <c r="E51" s="26" t="s">
        <v>761</v>
      </c>
      <c r="F51" s="26">
        <f>COUNTIF(pokemon!$AC$2:$AC$338, A51)</f>
        <v>3</v>
      </c>
      <c r="G51" s="59" cm="1">
        <f t="array" ref="G51">MIN(IF($A51=pokemon!$AC$2:$AC$338, pokemon!$T$2:$T$338))</f>
        <v>9</v>
      </c>
      <c r="H51" s="59" cm="1">
        <f t="array" ref="H51">MAX(IF($A51=pokemon!$AC$2:$AC$338, pokemon!$T$2:$T$338))</f>
        <v>11</v>
      </c>
      <c r="I51" s="59">
        <f t="shared" si="0"/>
        <v>2</v>
      </c>
    </row>
    <row r="52" spans="1:9" x14ac:dyDescent="0.25">
      <c r="A52" s="59" t="s">
        <v>513</v>
      </c>
      <c r="B52" s="30" t="s">
        <v>8</v>
      </c>
      <c r="C52" s="25">
        <v>40</v>
      </c>
      <c r="D52" s="29">
        <f t="shared" si="1"/>
        <v>2</v>
      </c>
      <c r="E52" s="26" t="s">
        <v>686</v>
      </c>
      <c r="F52" s="26">
        <f>COUNTIF(pokemon!$AC$2:$AC$338, A52)</f>
        <v>2</v>
      </c>
      <c r="G52" s="59" cm="1">
        <f t="array" ref="G52">MIN(IF($A52=pokemon!$AC$2:$AC$338, pokemon!$T$2:$T$338))</f>
        <v>8</v>
      </c>
      <c r="H52" s="59" cm="1">
        <f t="array" ref="H52">MAX(IF($A52=pokemon!$AC$2:$AC$338, pokemon!$T$2:$T$338))</f>
        <v>9</v>
      </c>
      <c r="I52" s="59">
        <f t="shared" si="0"/>
        <v>1</v>
      </c>
    </row>
    <row r="53" spans="1:9" x14ac:dyDescent="0.25">
      <c r="A53" s="27" t="s">
        <v>1278</v>
      </c>
      <c r="B53" s="45" t="s">
        <v>39</v>
      </c>
      <c r="C53" s="25">
        <v>20</v>
      </c>
      <c r="D53" s="25">
        <f t="shared" si="1"/>
        <v>1</v>
      </c>
      <c r="E53" s="27" t="s">
        <v>1335</v>
      </c>
      <c r="F53" s="26">
        <f>COUNTIF(pokemon!$AC$2:$AC$338, A53)</f>
        <v>1</v>
      </c>
      <c r="G53" s="27" cm="1">
        <f t="array" ref="G53">MIN(IF($A53=pokemon!$AC$2:$AC$338, pokemon!$T$2:$T$338))</f>
        <v>17</v>
      </c>
      <c r="H53" s="27" cm="1">
        <f t="array" ref="H53">MAX(IF($A53=pokemon!$AC$2:$AC$338, pokemon!$T$2:$T$338))</f>
        <v>17</v>
      </c>
      <c r="I53" s="27">
        <f t="shared" si="0"/>
        <v>0</v>
      </c>
    </row>
    <row r="54" spans="1:9" x14ac:dyDescent="0.25">
      <c r="A54" s="27" t="s">
        <v>938</v>
      </c>
      <c r="B54" s="46" t="s">
        <v>16</v>
      </c>
      <c r="C54" s="25">
        <v>40</v>
      </c>
      <c r="D54" s="25">
        <f t="shared" si="1"/>
        <v>2</v>
      </c>
      <c r="E54" s="26" t="s">
        <v>935</v>
      </c>
      <c r="F54" s="26">
        <f>COUNTIF(pokemon!$AC$2:$AC$338, A54)</f>
        <v>1</v>
      </c>
      <c r="G54" s="27" cm="1">
        <f t="array" ref="G54">MIN(IF($A54=pokemon!$AC$2:$AC$338, pokemon!$T$2:$T$338))</f>
        <v>10</v>
      </c>
      <c r="H54" s="27" cm="1">
        <f t="array" ref="H54">MAX(IF($A54=pokemon!$AC$2:$AC$338, pokemon!$T$2:$T$338))</f>
        <v>10</v>
      </c>
      <c r="I54" s="27">
        <f t="shared" si="0"/>
        <v>0</v>
      </c>
    </row>
    <row r="55" spans="1:9" x14ac:dyDescent="0.25">
      <c r="A55" s="27" t="s">
        <v>934</v>
      </c>
      <c r="B55" s="40" t="s">
        <v>7</v>
      </c>
      <c r="C55" s="25">
        <v>50</v>
      </c>
      <c r="D55" s="25">
        <f t="shared" si="1"/>
        <v>2</v>
      </c>
      <c r="E55" s="26" t="s">
        <v>935</v>
      </c>
      <c r="F55" s="26">
        <f>COUNTIF(pokemon!$AC$2:$AC$338, A55)</f>
        <v>1</v>
      </c>
      <c r="G55" s="27" cm="1">
        <f t="array" ref="G55">MIN(IF($A55=pokemon!$AC$2:$AC$338, pokemon!$T$2:$T$338))</f>
        <v>7</v>
      </c>
      <c r="H55" s="27" cm="1">
        <f t="array" ref="H55">MAX(IF($A55=pokemon!$AC$2:$AC$338, pokemon!$T$2:$T$338))</f>
        <v>7</v>
      </c>
      <c r="I55" s="27">
        <f t="shared" si="0"/>
        <v>0</v>
      </c>
    </row>
    <row r="56" spans="1:9" s="8" customFormat="1" x14ac:dyDescent="0.25">
      <c r="A56" s="26" t="s">
        <v>717</v>
      </c>
      <c r="B56" s="31" t="s">
        <v>4</v>
      </c>
      <c r="C56" s="25">
        <v>40</v>
      </c>
      <c r="D56" s="29">
        <f t="shared" si="1"/>
        <v>2</v>
      </c>
      <c r="E56" s="26" t="s">
        <v>948</v>
      </c>
      <c r="F56" s="26">
        <f>COUNTIF(pokemon!$AC$2:$AC$338, A56)</f>
        <v>1</v>
      </c>
      <c r="G56" s="26" cm="1">
        <f t="array" ref="G56">MIN(IF($A56=pokemon!$AC$2:$AC$338, pokemon!$T$2:$T$338))</f>
        <v>16</v>
      </c>
      <c r="H56" s="26" cm="1">
        <f t="array" ref="H56">MAX(IF($A56=pokemon!$AC$2:$AC$338, pokemon!$T$2:$T$338))</f>
        <v>16</v>
      </c>
      <c r="I56" s="26">
        <f t="shared" si="0"/>
        <v>0</v>
      </c>
    </row>
    <row r="57" spans="1:9" s="8" customFormat="1" x14ac:dyDescent="0.25">
      <c r="A57" s="26" t="s">
        <v>803</v>
      </c>
      <c r="B57" s="30" t="s">
        <v>8</v>
      </c>
      <c r="C57" s="59">
        <v>40</v>
      </c>
      <c r="D57" s="29">
        <f t="shared" si="1"/>
        <v>2</v>
      </c>
      <c r="E57" s="26" t="s">
        <v>806</v>
      </c>
      <c r="F57" s="26">
        <f>COUNTIF(pokemon!$AC$2:$AC$338, A57)</f>
        <v>1</v>
      </c>
      <c r="G57" s="26" cm="1">
        <f t="array" ref="G57">MIN(IF($A57=pokemon!$AC$2:$AC$338, pokemon!$T$2:$T$338))</f>
        <v>13</v>
      </c>
      <c r="H57" s="26" cm="1">
        <f t="array" ref="H57">MAX(IF($A57=pokemon!$AC$2:$AC$338, pokemon!$T$2:$T$338))</f>
        <v>13</v>
      </c>
      <c r="I57" s="26">
        <f t="shared" si="0"/>
        <v>0</v>
      </c>
    </row>
    <row r="58" spans="1:9" s="8" customFormat="1" x14ac:dyDescent="0.25">
      <c r="A58" s="59" t="s">
        <v>537</v>
      </c>
      <c r="B58" s="41" t="s">
        <v>33</v>
      </c>
      <c r="C58" s="25">
        <v>60</v>
      </c>
      <c r="D58" s="29">
        <f t="shared" si="1"/>
        <v>3</v>
      </c>
      <c r="E58" s="59" t="s">
        <v>662</v>
      </c>
      <c r="F58" s="26">
        <f>COUNTIF(pokemon!$AC$2:$AC$338, A58)</f>
        <v>4</v>
      </c>
      <c r="G58" s="26" cm="1">
        <f t="array" ref="G58">MIN(IF($A58=pokemon!$AC$2:$AC$338, pokemon!$T$2:$T$338))</f>
        <v>10</v>
      </c>
      <c r="H58" s="26" cm="1">
        <f t="array" ref="H58">MAX(IF($A58=pokemon!$AC$2:$AC$338, pokemon!$T$2:$T$338))</f>
        <v>15</v>
      </c>
      <c r="I58" s="26">
        <f t="shared" si="0"/>
        <v>5</v>
      </c>
    </row>
    <row r="59" spans="1:9" x14ac:dyDescent="0.25">
      <c r="A59" s="26" t="s">
        <v>708</v>
      </c>
      <c r="B59" s="42" t="s">
        <v>42</v>
      </c>
      <c r="C59" s="25">
        <v>60</v>
      </c>
      <c r="D59" s="29">
        <f t="shared" si="1"/>
        <v>3</v>
      </c>
      <c r="E59" s="26" t="s">
        <v>662</v>
      </c>
      <c r="F59" s="26">
        <f>COUNTIF(pokemon!$AC$2:$AC$338, A59)</f>
        <v>1</v>
      </c>
      <c r="G59" s="26" cm="1">
        <f t="array" ref="G59">MIN(IF($A59=pokemon!$AC$2:$AC$338, pokemon!$T$2:$T$338))</f>
        <v>12</v>
      </c>
      <c r="H59" s="26" cm="1">
        <f t="array" ref="H59">MAX(IF($A59=pokemon!$AC$2:$AC$338, pokemon!$T$2:$T$338))</f>
        <v>12</v>
      </c>
      <c r="I59" s="26">
        <f t="shared" si="0"/>
        <v>0</v>
      </c>
    </row>
    <row r="60" spans="1:9" s="8" customFormat="1" x14ac:dyDescent="0.25">
      <c r="A60" s="26" t="s">
        <v>542</v>
      </c>
      <c r="B60" s="27" t="s">
        <v>553</v>
      </c>
      <c r="C60" s="25">
        <v>55</v>
      </c>
      <c r="D60" s="29">
        <f t="shared" si="1"/>
        <v>3</v>
      </c>
      <c r="E60" s="26" t="s">
        <v>567</v>
      </c>
      <c r="F60" s="26">
        <f>COUNTIF(pokemon!$AC$2:$AC$338, A60)</f>
        <v>1</v>
      </c>
      <c r="G60" s="26" cm="1">
        <f t="array" ref="G60">MIN(IF($A60=pokemon!$AC$2:$AC$338, pokemon!$T$2:$T$338))</f>
        <v>11</v>
      </c>
      <c r="H60" s="26" cm="1">
        <f t="array" ref="H60">MAX(IF($A60=pokemon!$AC$2:$AC$338, pokemon!$T$2:$T$338))</f>
        <v>11</v>
      </c>
      <c r="I60" s="26">
        <f t="shared" si="0"/>
        <v>0</v>
      </c>
    </row>
    <row r="61" spans="1:9" s="8" customFormat="1" x14ac:dyDescent="0.25">
      <c r="A61" s="27" t="s">
        <v>517</v>
      </c>
      <c r="B61" s="40" t="s">
        <v>7</v>
      </c>
      <c r="C61" s="25">
        <v>60</v>
      </c>
      <c r="D61" s="29">
        <f t="shared" si="1"/>
        <v>3</v>
      </c>
      <c r="E61" s="27" t="s">
        <v>588</v>
      </c>
      <c r="F61" s="26">
        <f>COUNTIF(pokemon!$AC$2:$AC$338, A61)</f>
        <v>3</v>
      </c>
      <c r="G61" s="26" cm="1">
        <f t="array" ref="G61">MIN(IF($A61=pokemon!$AC$2:$AC$338, pokemon!$T$2:$T$338))</f>
        <v>7</v>
      </c>
      <c r="H61" s="26" cm="1">
        <f t="array" ref="H61">MAX(IF($A61=pokemon!$AC$2:$AC$338, pokemon!$T$2:$T$338))</f>
        <v>11</v>
      </c>
      <c r="I61" s="26">
        <f t="shared" si="0"/>
        <v>4</v>
      </c>
    </row>
    <row r="62" spans="1:9" s="8" customFormat="1" x14ac:dyDescent="0.25">
      <c r="A62" s="26" t="s">
        <v>881</v>
      </c>
      <c r="B62" s="39" t="s">
        <v>26</v>
      </c>
      <c r="C62" s="25">
        <v>60</v>
      </c>
      <c r="D62" s="29">
        <f t="shared" si="1"/>
        <v>3</v>
      </c>
      <c r="E62" s="26" t="s">
        <v>882</v>
      </c>
      <c r="F62" s="26">
        <f>COUNTIF(pokemon!$AC$2:$AC$338, A62)</f>
        <v>1</v>
      </c>
      <c r="G62" s="26" cm="1">
        <f t="array" ref="G62">MIN(IF($A62=pokemon!$AC$2:$AC$338, pokemon!$T$2:$T$338))</f>
        <v>16</v>
      </c>
      <c r="H62" s="26" cm="1">
        <f t="array" ref="H62">MAX(IF($A62=pokemon!$AC$2:$AC$338, pokemon!$T$2:$T$338))</f>
        <v>16</v>
      </c>
      <c r="I62" s="26">
        <f t="shared" si="0"/>
        <v>0</v>
      </c>
    </row>
    <row r="63" spans="1:9" s="8" customFormat="1" x14ac:dyDescent="0.25">
      <c r="A63" s="26" t="s">
        <v>616</v>
      </c>
      <c r="B63" s="34" t="s">
        <v>2</v>
      </c>
      <c r="C63" s="25">
        <v>55</v>
      </c>
      <c r="D63" s="29">
        <f t="shared" si="1"/>
        <v>3</v>
      </c>
      <c r="E63" s="26" t="s">
        <v>585</v>
      </c>
      <c r="F63" s="26">
        <f>COUNTIF(pokemon!$AC$2:$AC$338, A63)</f>
        <v>1</v>
      </c>
      <c r="G63" s="26" cm="1">
        <f t="array" ref="G63">MIN(IF($A63=pokemon!$AC$2:$AC$338, pokemon!$T$2:$T$338))</f>
        <v>10</v>
      </c>
      <c r="H63" s="26" cm="1">
        <f t="array" ref="H63">MAX(IF($A63=pokemon!$AC$2:$AC$338, pokemon!$T$2:$T$338))</f>
        <v>10</v>
      </c>
      <c r="I63" s="26">
        <f t="shared" si="0"/>
        <v>0</v>
      </c>
    </row>
    <row r="64" spans="1:9" s="8" customFormat="1" x14ac:dyDescent="0.25">
      <c r="A64" s="26" t="s">
        <v>709</v>
      </c>
      <c r="B64" s="31" t="s">
        <v>4</v>
      </c>
      <c r="C64" s="25">
        <v>65</v>
      </c>
      <c r="D64" s="29">
        <f t="shared" si="1"/>
        <v>3</v>
      </c>
      <c r="E64" s="26" t="s">
        <v>602</v>
      </c>
      <c r="F64" s="26">
        <f>COUNTIF(pokemon!$AC$2:$AC$338, A64)</f>
        <v>1</v>
      </c>
      <c r="G64" s="26" cm="1">
        <f t="array" ref="G64">MIN(IF($A64=pokemon!$AC$2:$AC$338, pokemon!$T$2:$T$338))</f>
        <v>12</v>
      </c>
      <c r="H64" s="26" cm="1">
        <f t="array" ref="H64">MAX(IF($A64=pokemon!$AC$2:$AC$338, pokemon!$T$2:$T$338))</f>
        <v>12</v>
      </c>
      <c r="I64" s="26">
        <f t="shared" si="0"/>
        <v>0</v>
      </c>
    </row>
    <row r="65" spans="1:9" s="8" customFormat="1" x14ac:dyDescent="0.25">
      <c r="A65" s="26" t="s">
        <v>771</v>
      </c>
      <c r="B65" s="31" t="s">
        <v>4</v>
      </c>
      <c r="C65" s="25">
        <v>60</v>
      </c>
      <c r="D65" s="29">
        <f t="shared" si="1"/>
        <v>3</v>
      </c>
      <c r="E65" s="26" t="s">
        <v>963</v>
      </c>
      <c r="F65" s="26">
        <f>COUNTIF(pokemon!$AC$2:$AC$338, A65)</f>
        <v>1</v>
      </c>
      <c r="G65" s="26" cm="1">
        <f t="array" ref="G65">MIN(IF($A65=pokemon!$AC$2:$AC$338, pokemon!$T$2:$T$338))</f>
        <v>14</v>
      </c>
      <c r="H65" s="26" cm="1">
        <f t="array" ref="H65">MAX(IF($A65=pokemon!$AC$2:$AC$338, pokemon!$T$2:$T$338))</f>
        <v>14</v>
      </c>
      <c r="I65" s="26">
        <f t="shared" si="0"/>
        <v>0</v>
      </c>
    </row>
    <row r="66" spans="1:9" s="8" customFormat="1" x14ac:dyDescent="0.25">
      <c r="A66" s="26" t="s">
        <v>546</v>
      </c>
      <c r="B66" s="32" t="s">
        <v>6</v>
      </c>
      <c r="C66" s="25">
        <v>60</v>
      </c>
      <c r="D66" s="29">
        <f t="shared" si="1"/>
        <v>3</v>
      </c>
      <c r="E66" s="26" t="s">
        <v>603</v>
      </c>
      <c r="F66" s="26">
        <f>COUNTIF(pokemon!$AC$2:$AC$338, A66)</f>
        <v>3</v>
      </c>
      <c r="G66" s="26" cm="1">
        <f t="array" ref="G66">MIN(IF($A66=pokemon!$AC$2:$AC$338, pokemon!$T$2:$T$338))</f>
        <v>10</v>
      </c>
      <c r="H66" s="26" cm="1">
        <f t="array" ref="H66">MAX(IF($A66=pokemon!$AC$2:$AC$338, pokemon!$T$2:$T$338))</f>
        <v>14</v>
      </c>
      <c r="I66" s="26">
        <f t="shared" si="0"/>
        <v>4</v>
      </c>
    </row>
    <row r="67" spans="1:9" s="8" customFormat="1" x14ac:dyDescent="0.25">
      <c r="A67" s="26" t="s">
        <v>658</v>
      </c>
      <c r="B67" s="35" t="s">
        <v>14</v>
      </c>
      <c r="C67" s="25">
        <v>65</v>
      </c>
      <c r="D67" s="29">
        <f t="shared" si="1"/>
        <v>3</v>
      </c>
      <c r="E67" s="26" t="s">
        <v>605</v>
      </c>
      <c r="F67" s="26">
        <f>COUNTIF(pokemon!$AC$2:$AC$338, A67)</f>
        <v>1</v>
      </c>
      <c r="G67" s="26" cm="1">
        <f t="array" ref="G67">MIN(IF($A67=pokemon!$AC$2:$AC$338, pokemon!$T$2:$T$338))</f>
        <v>15</v>
      </c>
      <c r="H67" s="26" cm="1">
        <f t="array" ref="H67">MAX(IF($A67=pokemon!$AC$2:$AC$338, pokemon!$T$2:$T$338))</f>
        <v>15</v>
      </c>
      <c r="I67" s="26">
        <f t="shared" ref="I67:I131" si="2">H67-G67</f>
        <v>0</v>
      </c>
    </row>
    <row r="68" spans="1:9" s="8" customFormat="1" x14ac:dyDescent="0.25">
      <c r="A68" s="26" t="s">
        <v>595</v>
      </c>
      <c r="B68" s="30" t="s">
        <v>8</v>
      </c>
      <c r="C68" s="25">
        <v>70</v>
      </c>
      <c r="D68" s="29">
        <f t="shared" si="1"/>
        <v>3</v>
      </c>
      <c r="E68" s="26" t="s">
        <v>604</v>
      </c>
      <c r="F68" s="26">
        <f>COUNTIF(pokemon!$AC$2:$AC$338, A68)</f>
        <v>3</v>
      </c>
      <c r="G68" s="26" cm="1">
        <f t="array" ref="G68">MIN(IF($A68=pokemon!$AC$2:$AC$338, pokemon!$T$2:$T$338))</f>
        <v>12</v>
      </c>
      <c r="H68" s="26" cm="1">
        <f t="array" ref="H68">MAX(IF($A68=pokemon!$AC$2:$AC$338, pokemon!$T$2:$T$338))</f>
        <v>14</v>
      </c>
      <c r="I68" s="26">
        <f t="shared" si="2"/>
        <v>2</v>
      </c>
    </row>
    <row r="69" spans="1:9" x14ac:dyDescent="0.25">
      <c r="A69" s="26" t="s">
        <v>590</v>
      </c>
      <c r="B69" s="28" t="s">
        <v>22</v>
      </c>
      <c r="C69" s="25">
        <v>60</v>
      </c>
      <c r="D69" s="29">
        <f t="shared" si="1"/>
        <v>3</v>
      </c>
      <c r="E69" s="26" t="s">
        <v>964</v>
      </c>
      <c r="F69" s="26">
        <f>COUNTIF(pokemon!$AC$2:$AC$338, A69)</f>
        <v>1</v>
      </c>
      <c r="G69" s="26" cm="1">
        <f t="array" ref="G69">MIN(IF($A69=pokemon!$AC$2:$AC$338, pokemon!$T$2:$T$338))</f>
        <v>17</v>
      </c>
      <c r="H69" s="26" cm="1">
        <f t="array" ref="H69">MAX(IF($A69=pokemon!$AC$2:$AC$338, pokemon!$T$2:$T$338))</f>
        <v>17</v>
      </c>
      <c r="I69" s="26">
        <f t="shared" si="2"/>
        <v>0</v>
      </c>
    </row>
    <row r="70" spans="1:9" x14ac:dyDescent="0.25">
      <c r="A70" s="26" t="s">
        <v>504</v>
      </c>
      <c r="B70" s="42" t="s">
        <v>42</v>
      </c>
      <c r="C70" s="25">
        <v>65</v>
      </c>
      <c r="D70" s="29">
        <f t="shared" si="1"/>
        <v>3</v>
      </c>
      <c r="E70" s="26" t="s">
        <v>864</v>
      </c>
      <c r="F70" s="26">
        <f>COUNTIF(pokemon!$AC$2:$AC$338, A70)</f>
        <v>3</v>
      </c>
      <c r="G70" s="26" cm="1">
        <f t="array" ref="G70">MIN(IF($A70=pokemon!$AC$2:$AC$338, pokemon!$T$2:$T$338))</f>
        <v>14</v>
      </c>
      <c r="H70" s="26" cm="1">
        <f t="array" ref="H70">MAX(IF($A70=pokemon!$AC$2:$AC$338, pokemon!$T$2:$T$338))</f>
        <v>15</v>
      </c>
      <c r="I70" s="26">
        <f t="shared" si="2"/>
        <v>1</v>
      </c>
    </row>
    <row r="71" spans="1:9" x14ac:dyDescent="0.25">
      <c r="A71" s="59" t="s">
        <v>794</v>
      </c>
      <c r="B71" s="36" t="s">
        <v>3</v>
      </c>
      <c r="C71" s="25">
        <v>65</v>
      </c>
      <c r="D71" s="29">
        <f t="shared" si="1"/>
        <v>3</v>
      </c>
      <c r="E71" s="26" t="s">
        <v>864</v>
      </c>
      <c r="F71" s="26">
        <f>COUNTIF(pokemon!$AC$2:$AC$338, A71)</f>
        <v>1</v>
      </c>
      <c r="G71" s="59" cm="1">
        <f t="array" ref="G71">MIN(IF($A71=pokemon!$AC$2:$AC$338, pokemon!$T$2:$T$338))</f>
        <v>14</v>
      </c>
      <c r="H71" s="59" cm="1">
        <f t="array" ref="H71">MAX(IF($A71=pokemon!$AC$2:$AC$338, pokemon!$T$2:$T$338))</f>
        <v>14</v>
      </c>
      <c r="I71" s="59">
        <f t="shared" si="2"/>
        <v>0</v>
      </c>
    </row>
    <row r="72" spans="1:9" s="8" customFormat="1" x14ac:dyDescent="0.25">
      <c r="A72" s="26" t="s">
        <v>592</v>
      </c>
      <c r="B72" s="38" t="s">
        <v>5</v>
      </c>
      <c r="C72" s="25">
        <v>55</v>
      </c>
      <c r="D72" s="29">
        <f t="shared" ref="D72:D136" si="3">IF(NOT(ISBLANK(C72)), IF(ISNUMBER(C72), ROUND((C72 - 5)/20, 0), C72), "")</f>
        <v>3</v>
      </c>
      <c r="E72" s="26" t="s">
        <v>836</v>
      </c>
      <c r="F72" s="26">
        <f>COUNTIF(pokemon!$AC$2:$AC$338, A72)</f>
        <v>1</v>
      </c>
      <c r="G72" s="26" cm="1">
        <f t="array" ref="G72">MIN(IF($A72=pokemon!$AC$2:$AC$338, pokemon!$T$2:$T$338))</f>
        <v>16</v>
      </c>
      <c r="H72" s="26" cm="1">
        <f t="array" ref="H72">MAX(IF($A72=pokemon!$AC$2:$AC$338, pokemon!$T$2:$T$338))</f>
        <v>16</v>
      </c>
      <c r="I72" s="26">
        <f t="shared" si="2"/>
        <v>0</v>
      </c>
    </row>
    <row r="73" spans="1:9" x14ac:dyDescent="0.25">
      <c r="A73" s="26" t="s">
        <v>743</v>
      </c>
      <c r="B73" s="40" t="s">
        <v>7</v>
      </c>
      <c r="C73" s="25">
        <v>60</v>
      </c>
      <c r="D73" s="29">
        <f t="shared" si="3"/>
        <v>3</v>
      </c>
      <c r="E73" s="26" t="s">
        <v>862</v>
      </c>
      <c r="F73" s="26">
        <f>COUNTIF(pokemon!$AC$2:$AC$338, A73)</f>
        <v>1</v>
      </c>
      <c r="G73" s="26" cm="1">
        <f t="array" ref="G73">MIN(IF($A73=pokemon!$AC$2:$AC$338, pokemon!$T$2:$T$338))</f>
        <v>28</v>
      </c>
      <c r="H73" s="26" cm="1">
        <f t="array" ref="H73">MAX(IF($A73=pokemon!$AC$2:$AC$338, pokemon!$T$2:$T$338))</f>
        <v>28</v>
      </c>
      <c r="I73" s="26">
        <f t="shared" si="2"/>
        <v>0</v>
      </c>
    </row>
    <row r="74" spans="1:9" x14ac:dyDescent="0.25">
      <c r="A74" s="26" t="s">
        <v>723</v>
      </c>
      <c r="B74" s="36" t="s">
        <v>3</v>
      </c>
      <c r="C74" s="25">
        <v>60</v>
      </c>
      <c r="D74" s="29">
        <f t="shared" si="3"/>
        <v>3</v>
      </c>
      <c r="E74" s="26" t="s">
        <v>863</v>
      </c>
      <c r="F74" s="26">
        <f>COUNTIF(pokemon!$AC$2:$AC$338, A74)</f>
        <v>1</v>
      </c>
      <c r="G74" s="26" cm="1">
        <f t="array" ref="G74">MIN(IF($A74=pokemon!$AC$2:$AC$338, pokemon!$T$2:$T$338))</f>
        <v>28</v>
      </c>
      <c r="H74" s="26" cm="1">
        <f t="array" ref="H74">MAX(IF($A74=pokemon!$AC$2:$AC$338, pokemon!$T$2:$T$338))</f>
        <v>28</v>
      </c>
      <c r="I74" s="26">
        <f t="shared" si="2"/>
        <v>0</v>
      </c>
    </row>
    <row r="75" spans="1:9" s="8" customFormat="1" x14ac:dyDescent="0.25">
      <c r="A75" s="26" t="s">
        <v>594</v>
      </c>
      <c r="B75" s="31" t="s">
        <v>4</v>
      </c>
      <c r="C75" s="25">
        <v>70</v>
      </c>
      <c r="D75" s="29">
        <f t="shared" si="3"/>
        <v>3</v>
      </c>
      <c r="E75" s="26" t="s">
        <v>965</v>
      </c>
      <c r="F75" s="26">
        <f>COUNTIF(pokemon!$AC$2:$AC$338, A75)</f>
        <v>1</v>
      </c>
      <c r="G75" s="26" cm="1">
        <f t="array" ref="G75">MIN(IF($A75=pokemon!$AC$2:$AC$338, pokemon!$T$2:$T$338))</f>
        <v>17</v>
      </c>
      <c r="H75" s="26" cm="1">
        <f t="array" ref="H75">MAX(IF($A75=pokemon!$AC$2:$AC$338, pokemon!$T$2:$T$338))</f>
        <v>17</v>
      </c>
      <c r="I75" s="26">
        <f t="shared" si="2"/>
        <v>0</v>
      </c>
    </row>
    <row r="76" spans="1:9" x14ac:dyDescent="0.25">
      <c r="A76" s="26" t="s">
        <v>744</v>
      </c>
      <c r="B76" s="45" t="s">
        <v>39</v>
      </c>
      <c r="C76" s="25">
        <v>60</v>
      </c>
      <c r="D76" s="29">
        <f t="shared" si="3"/>
        <v>3</v>
      </c>
      <c r="E76" s="26" t="s">
        <v>849</v>
      </c>
      <c r="F76" s="26">
        <f>COUNTIF(pokemon!$AC$2:$AC$338, A76)</f>
        <v>1</v>
      </c>
      <c r="G76" s="26" cm="1">
        <f t="array" ref="G76">MIN(IF($A76=pokemon!$AC$2:$AC$338, pokemon!$T$2:$T$338))</f>
        <v>28</v>
      </c>
      <c r="H76" s="26" cm="1">
        <f t="array" ref="H76">MAX(IF($A76=pokemon!$AC$2:$AC$338, pokemon!$T$2:$T$338))</f>
        <v>28</v>
      </c>
      <c r="I76" s="26">
        <f t="shared" si="2"/>
        <v>0</v>
      </c>
    </row>
    <row r="77" spans="1:9" x14ac:dyDescent="0.25">
      <c r="A77" s="26" t="s">
        <v>527</v>
      </c>
      <c r="B77" s="38" t="s">
        <v>5</v>
      </c>
      <c r="C77" s="25">
        <v>65</v>
      </c>
      <c r="D77" s="29">
        <f t="shared" si="3"/>
        <v>3</v>
      </c>
      <c r="E77" s="26" t="s">
        <v>966</v>
      </c>
      <c r="F77" s="26">
        <f>COUNTIF(pokemon!$AC$2:$AC$338, A77)</f>
        <v>1</v>
      </c>
      <c r="G77" s="26" cm="1">
        <f t="array" ref="G77">MIN(IF($A77=pokemon!$AC$2:$AC$338, pokemon!$T$2:$T$338))</f>
        <v>15</v>
      </c>
      <c r="H77" s="26" cm="1">
        <f t="array" ref="H77">MAX(IF($A77=pokemon!$AC$2:$AC$338, pokemon!$T$2:$T$338))</f>
        <v>15</v>
      </c>
      <c r="I77" s="26">
        <f t="shared" si="2"/>
        <v>0</v>
      </c>
    </row>
    <row r="78" spans="1:9" s="8" customFormat="1" x14ac:dyDescent="0.25">
      <c r="A78" s="26" t="s">
        <v>508</v>
      </c>
      <c r="B78" s="44" t="s">
        <v>9</v>
      </c>
      <c r="C78" s="25">
        <v>60</v>
      </c>
      <c r="D78" s="29">
        <f t="shared" si="3"/>
        <v>3</v>
      </c>
      <c r="E78" s="59" t="s">
        <v>1310</v>
      </c>
      <c r="F78" s="26">
        <f>COUNTIF(pokemon!$AC$2:$AC$338, A78)</f>
        <v>1</v>
      </c>
      <c r="G78" s="26" cm="1">
        <f t="array" ref="G78">MIN(IF($A78=pokemon!$AC$2:$AC$338, pokemon!$T$2:$T$338))</f>
        <v>20</v>
      </c>
      <c r="H78" s="26" cm="1">
        <f t="array" ref="H78">MAX(IF($A78=pokemon!$AC$2:$AC$338, pokemon!$T$2:$T$338))</f>
        <v>20</v>
      </c>
      <c r="I78" s="26">
        <f t="shared" si="2"/>
        <v>0</v>
      </c>
    </row>
    <row r="79" spans="1:9" x14ac:dyDescent="0.25">
      <c r="A79" s="26" t="s">
        <v>1142</v>
      </c>
      <c r="B79" s="39" t="s">
        <v>26</v>
      </c>
      <c r="C79" s="25">
        <v>60</v>
      </c>
      <c r="D79" s="29">
        <f t="shared" si="3"/>
        <v>3</v>
      </c>
      <c r="E79" s="27" t="s">
        <v>1314</v>
      </c>
      <c r="F79" s="26">
        <f>COUNTIF(pokemon!$AC$2:$AC$338, A79)</f>
        <v>1</v>
      </c>
      <c r="G79" s="26" cm="1">
        <f t="array" ref="G79">MIN(IF($A79=pokemon!$AC$2:$AC$338, pokemon!$T$2:$T$338))</f>
        <v>20</v>
      </c>
      <c r="H79" s="26" cm="1">
        <f t="array" ref="H79">MAX(IF($A79=pokemon!$AC$2:$AC$338, pokemon!$T$2:$T$338))</f>
        <v>20</v>
      </c>
      <c r="I79" s="26">
        <f t="shared" si="2"/>
        <v>0</v>
      </c>
    </row>
    <row r="80" spans="1:9" s="8" customFormat="1" x14ac:dyDescent="0.25">
      <c r="A80" s="26" t="s">
        <v>811</v>
      </c>
      <c r="B80" s="36" t="s">
        <v>3</v>
      </c>
      <c r="C80" s="25">
        <v>60</v>
      </c>
      <c r="D80" s="29">
        <f t="shared" si="3"/>
        <v>3</v>
      </c>
      <c r="E80" s="26" t="s">
        <v>967</v>
      </c>
      <c r="F80" s="26">
        <f>COUNTIF(pokemon!$AC$2:$AC$338, A80)</f>
        <v>1</v>
      </c>
      <c r="G80" s="26" cm="1">
        <f t="array" ref="G80">MIN(IF($A80=pokemon!$AC$2:$AC$338, pokemon!$T$2:$T$338))</f>
        <v>16</v>
      </c>
      <c r="H80" s="26" cm="1">
        <f t="array" ref="H80">MAX(IF($A80=pokemon!$AC$2:$AC$338, pokemon!$T$2:$T$338))</f>
        <v>16</v>
      </c>
      <c r="I80" s="26">
        <f t="shared" si="2"/>
        <v>0</v>
      </c>
    </row>
    <row r="81" spans="1:9" x14ac:dyDescent="0.25">
      <c r="A81" s="26" t="s">
        <v>574</v>
      </c>
      <c r="B81" s="28" t="s">
        <v>22</v>
      </c>
      <c r="C81" s="25">
        <v>60</v>
      </c>
      <c r="D81" s="29">
        <f t="shared" si="3"/>
        <v>3</v>
      </c>
      <c r="E81" s="26" t="s">
        <v>800</v>
      </c>
      <c r="F81" s="26">
        <f>COUNTIF(pokemon!$AC$2:$AC$338, A81)</f>
        <v>1</v>
      </c>
      <c r="G81" s="26" cm="1">
        <f t="array" ref="G81">MIN(IF($A81=pokemon!$AC$2:$AC$338, pokemon!$T$2:$T$338))</f>
        <v>16</v>
      </c>
      <c r="H81" s="26" cm="1">
        <f t="array" ref="H81">MAX(IF($A81=pokemon!$AC$2:$AC$338, pokemon!$T$2:$T$338))</f>
        <v>16</v>
      </c>
      <c r="I81" s="26">
        <f t="shared" si="2"/>
        <v>0</v>
      </c>
    </row>
    <row r="82" spans="1:9" x14ac:dyDescent="0.25">
      <c r="A82" s="26" t="s">
        <v>612</v>
      </c>
      <c r="B82" s="45" t="s">
        <v>39</v>
      </c>
      <c r="C82" s="25">
        <v>55</v>
      </c>
      <c r="D82" s="29">
        <f t="shared" si="3"/>
        <v>3</v>
      </c>
      <c r="E82" s="26" t="s">
        <v>586</v>
      </c>
      <c r="F82" s="26">
        <f>COUNTIF(pokemon!$AC$2:$AC$338, A82)</f>
        <v>2</v>
      </c>
      <c r="G82" s="26" cm="1">
        <f t="array" ref="G82">MIN(IF($A82=pokemon!$AC$2:$AC$338, pokemon!$T$2:$T$338))</f>
        <v>10</v>
      </c>
      <c r="H82" s="26" cm="1">
        <f t="array" ref="H82">MAX(IF($A82=pokemon!$AC$2:$AC$338, pokemon!$T$2:$T$338))</f>
        <v>14</v>
      </c>
      <c r="I82" s="26">
        <f t="shared" si="2"/>
        <v>4</v>
      </c>
    </row>
    <row r="83" spans="1:9" s="8" customFormat="1" x14ac:dyDescent="0.25">
      <c r="A83" s="26" t="s">
        <v>655</v>
      </c>
      <c r="B83" s="32" t="s">
        <v>6</v>
      </c>
      <c r="C83" s="25">
        <v>60</v>
      </c>
      <c r="D83" s="29">
        <f t="shared" si="3"/>
        <v>3</v>
      </c>
      <c r="E83" s="26" t="s">
        <v>660</v>
      </c>
      <c r="F83" s="26">
        <f>COUNTIF(pokemon!$AC$2:$AC$338, A83)</f>
        <v>3</v>
      </c>
      <c r="G83" s="26" cm="1">
        <f t="array" ref="G83">MIN(IF($A83=pokemon!$AC$2:$AC$338, pokemon!$T$2:$T$338))</f>
        <v>10</v>
      </c>
      <c r="H83" s="26" cm="1">
        <f t="array" ref="H83">MAX(IF($A83=pokemon!$AC$2:$AC$338, pokemon!$T$2:$T$338))</f>
        <v>15</v>
      </c>
      <c r="I83" s="26">
        <f t="shared" si="2"/>
        <v>5</v>
      </c>
    </row>
    <row r="84" spans="1:9" x14ac:dyDescent="0.25">
      <c r="A84" s="26" t="s">
        <v>485</v>
      </c>
      <c r="B84" s="40" t="s">
        <v>7</v>
      </c>
      <c r="C84" s="25">
        <v>70</v>
      </c>
      <c r="D84" s="29">
        <f t="shared" si="3"/>
        <v>3</v>
      </c>
      <c r="E84" s="26" t="s">
        <v>660</v>
      </c>
      <c r="F84" s="26">
        <f>COUNTIF(pokemon!$AC$2:$AC$338, A84)</f>
        <v>1</v>
      </c>
      <c r="G84" s="26" cm="1">
        <f t="array" ref="G84">MIN(IF($A84=pokemon!$AC$2:$AC$338, pokemon!$T$2:$T$338))</f>
        <v>11</v>
      </c>
      <c r="H84" s="26" cm="1">
        <f t="array" ref="H84">MAX(IF($A84=pokemon!$AC$2:$AC$338, pokemon!$T$2:$T$338))</f>
        <v>11</v>
      </c>
      <c r="I84" s="26">
        <f t="shared" si="2"/>
        <v>0</v>
      </c>
    </row>
    <row r="85" spans="1:9" x14ac:dyDescent="0.25">
      <c r="A85" s="26" t="s">
        <v>484</v>
      </c>
      <c r="B85" s="33" t="s">
        <v>11</v>
      </c>
      <c r="C85" s="25">
        <v>70</v>
      </c>
      <c r="D85" s="29">
        <f t="shared" si="3"/>
        <v>3</v>
      </c>
      <c r="E85" s="26" t="s">
        <v>660</v>
      </c>
      <c r="F85" s="26">
        <f>COUNTIF(pokemon!$AC$2:$AC$338, A85)</f>
        <v>1</v>
      </c>
      <c r="G85" s="26" cm="1">
        <f t="array" ref="G85">MIN(IF($A85=pokemon!$AC$2:$AC$338, pokemon!$T$2:$T$338))</f>
        <v>10</v>
      </c>
      <c r="H85" s="26" cm="1">
        <f t="array" ref="H85">MAX(IF($A85=pokemon!$AC$2:$AC$338, pokemon!$T$2:$T$338))</f>
        <v>10</v>
      </c>
      <c r="I85" s="26">
        <f t="shared" si="2"/>
        <v>0</v>
      </c>
    </row>
    <row r="86" spans="1:9" x14ac:dyDescent="0.25">
      <c r="A86" s="26" t="s">
        <v>742</v>
      </c>
      <c r="B86" s="33" t="s">
        <v>11</v>
      </c>
      <c r="C86" s="25">
        <v>60</v>
      </c>
      <c r="D86" s="29">
        <f t="shared" si="3"/>
        <v>3</v>
      </c>
      <c r="E86" s="26" t="s">
        <v>930</v>
      </c>
      <c r="F86" s="26">
        <f>COUNTIF(pokemon!$AC$2:$AC$338, A86)</f>
        <v>1</v>
      </c>
      <c r="G86" s="26" cm="1">
        <f t="array" ref="G86">MIN(IF($A86=pokemon!$AC$2:$AC$338, pokemon!$T$2:$T$338))</f>
        <v>28</v>
      </c>
      <c r="H86" s="26" cm="1">
        <f t="array" ref="H86">MAX(IF($A86=pokemon!$AC$2:$AC$338, pokemon!$T$2:$T$338))</f>
        <v>28</v>
      </c>
      <c r="I86" s="26">
        <f t="shared" si="2"/>
        <v>0</v>
      </c>
    </row>
    <row r="87" spans="1:9" s="8" customFormat="1" x14ac:dyDescent="0.25">
      <c r="A87" s="27" t="s">
        <v>1285</v>
      </c>
      <c r="B87" s="41" t="s">
        <v>33</v>
      </c>
      <c r="C87" s="25">
        <v>60</v>
      </c>
      <c r="D87" s="29">
        <f t="shared" si="3"/>
        <v>3</v>
      </c>
      <c r="E87" s="26" t="s">
        <v>930</v>
      </c>
      <c r="F87" s="26">
        <f>COUNTIF(pokemon!$AC$2:$AC$338, A87)</f>
        <v>1</v>
      </c>
      <c r="G87" s="27" cm="1">
        <f t="array" ref="G87">MIN(IF($A87=pokemon!$AC$2:$AC$338, pokemon!$T$2:$T$338))</f>
        <v>20</v>
      </c>
      <c r="H87" s="27" cm="1">
        <f t="array" ref="H87">MAX(IF($A87=pokemon!$AC$2:$AC$338, pokemon!$T$2:$T$338))</f>
        <v>20</v>
      </c>
      <c r="I87" s="27">
        <f t="shared" si="2"/>
        <v>0</v>
      </c>
    </row>
    <row r="88" spans="1:9" s="8" customFormat="1" x14ac:dyDescent="0.25">
      <c r="A88" s="27" t="s">
        <v>1283</v>
      </c>
      <c r="B88" s="35" t="s">
        <v>14</v>
      </c>
      <c r="C88" s="25">
        <v>60</v>
      </c>
      <c r="D88" s="29">
        <f t="shared" si="3"/>
        <v>3</v>
      </c>
      <c r="E88" s="26" t="s">
        <v>1284</v>
      </c>
      <c r="F88" s="26">
        <f>COUNTIF(pokemon!$AC$2:$AC$338, A88)</f>
        <v>1</v>
      </c>
      <c r="G88" s="27" cm="1">
        <f t="array" ref="G88">MIN(IF($A88=pokemon!$AC$2:$AC$338, pokemon!$T$2:$T$338))</f>
        <v>20</v>
      </c>
      <c r="H88" s="27" cm="1">
        <f t="array" ref="H88">MAX(IF($A88=pokemon!$AC$2:$AC$338, pokemon!$T$2:$T$338))</f>
        <v>20</v>
      </c>
      <c r="I88" s="27">
        <f t="shared" si="2"/>
        <v>0</v>
      </c>
    </row>
    <row r="89" spans="1:9" s="8" customFormat="1" x14ac:dyDescent="0.25">
      <c r="A89" s="26" t="s">
        <v>804</v>
      </c>
      <c r="B89" s="30" t="s">
        <v>8</v>
      </c>
      <c r="C89" s="59">
        <v>60</v>
      </c>
      <c r="D89" s="29">
        <f t="shared" si="3"/>
        <v>3</v>
      </c>
      <c r="E89" s="26" t="s">
        <v>851</v>
      </c>
      <c r="F89" s="26">
        <f>COUNTIF(pokemon!$AC$2:$AC$338, A89)</f>
        <v>1</v>
      </c>
      <c r="G89" s="26" cm="1">
        <f t="array" ref="G89">MIN(IF($A89=pokemon!$AC$2:$AC$338, pokemon!$T$2:$T$338))</f>
        <v>17</v>
      </c>
      <c r="H89" s="26" cm="1">
        <f t="array" ref="H89">MAX(IF($A89=pokemon!$AC$2:$AC$338, pokemon!$T$2:$T$338))</f>
        <v>17</v>
      </c>
      <c r="I89" s="26">
        <f t="shared" si="2"/>
        <v>0</v>
      </c>
    </row>
    <row r="90" spans="1:9" x14ac:dyDescent="0.25">
      <c r="A90" s="26" t="s">
        <v>746</v>
      </c>
      <c r="B90" s="41" t="s">
        <v>33</v>
      </c>
      <c r="C90" s="25">
        <v>60</v>
      </c>
      <c r="D90" s="29">
        <f t="shared" si="3"/>
        <v>3</v>
      </c>
      <c r="E90" s="26" t="s">
        <v>851</v>
      </c>
      <c r="F90" s="26">
        <f>COUNTIF(pokemon!$AC$2:$AC$338, A90)</f>
        <v>1</v>
      </c>
      <c r="G90" s="26" cm="1">
        <f t="array" ref="G90">MIN(IF($A90=pokemon!$AC$2:$AC$338, pokemon!$T$2:$T$338))</f>
        <v>28</v>
      </c>
      <c r="H90" s="26" cm="1">
        <f t="array" ref="H90">MAX(IF($A90=pokemon!$AC$2:$AC$338, pokemon!$T$2:$T$338))</f>
        <v>28</v>
      </c>
      <c r="I90" s="26">
        <f t="shared" si="2"/>
        <v>0</v>
      </c>
    </row>
    <row r="91" spans="1:9" s="8" customFormat="1" x14ac:dyDescent="0.25">
      <c r="A91" s="27" t="s">
        <v>1282</v>
      </c>
      <c r="B91" s="45" t="s">
        <v>39</v>
      </c>
      <c r="C91" s="25">
        <v>60</v>
      </c>
      <c r="D91" s="29">
        <f t="shared" si="3"/>
        <v>3</v>
      </c>
      <c r="E91" s="26" t="s">
        <v>851</v>
      </c>
      <c r="F91" s="26">
        <f>COUNTIF(pokemon!$AC$2:$AC$338, A91)</f>
        <v>1</v>
      </c>
      <c r="G91" s="27" cm="1">
        <f t="array" ref="G91">MIN(IF($A91=pokemon!$AC$2:$AC$338, pokemon!$T$2:$T$338))</f>
        <v>20</v>
      </c>
      <c r="H91" s="27" cm="1">
        <f t="array" ref="H91">MAX(IF($A91=pokemon!$AC$2:$AC$338, pokemon!$T$2:$T$338))</f>
        <v>20</v>
      </c>
      <c r="I91" s="27">
        <f t="shared" si="2"/>
        <v>0</v>
      </c>
    </row>
    <row r="92" spans="1:9" s="8" customFormat="1" x14ac:dyDescent="0.25">
      <c r="A92" s="59" t="s">
        <v>530</v>
      </c>
      <c r="B92" s="44" t="s">
        <v>9</v>
      </c>
      <c r="C92" s="25">
        <v>60</v>
      </c>
      <c r="D92" s="29">
        <f t="shared" si="3"/>
        <v>3</v>
      </c>
      <c r="E92" s="26" t="s">
        <v>606</v>
      </c>
      <c r="F92" s="26">
        <f>COUNTIF(pokemon!$AC$2:$AC$338, A92)</f>
        <v>7</v>
      </c>
      <c r="G92" s="59" cm="1">
        <f t="array" ref="G92">MIN(IF($A92=pokemon!$AC$2:$AC$338, pokemon!$T$2:$T$338))</f>
        <v>11</v>
      </c>
      <c r="H92" s="59" cm="1">
        <f t="array" ref="H92">MAX(IF($A92=pokemon!$AC$2:$AC$338, pokemon!$T$2:$T$338))</f>
        <v>14</v>
      </c>
      <c r="I92" s="59">
        <f t="shared" si="2"/>
        <v>3</v>
      </c>
    </row>
    <row r="93" spans="1:9" s="8" customFormat="1" x14ac:dyDescent="0.25">
      <c r="A93" s="59" t="s">
        <v>647</v>
      </c>
      <c r="B93" s="35" t="s">
        <v>14</v>
      </c>
      <c r="C93" s="25">
        <v>65</v>
      </c>
      <c r="D93" s="29">
        <f t="shared" si="3"/>
        <v>3</v>
      </c>
      <c r="E93" s="59" t="s">
        <v>686</v>
      </c>
      <c r="F93" s="26">
        <f>COUNTIF(pokemon!$AC$2:$AC$338, A93)</f>
        <v>1</v>
      </c>
      <c r="G93" s="59" cm="1">
        <f t="array" ref="G93">MIN(IF($A93=pokemon!$AC$2:$AC$338, pokemon!$T$2:$T$338))</f>
        <v>11</v>
      </c>
      <c r="H93" s="59" cm="1">
        <f t="array" ref="H93">MAX(IF($A93=pokemon!$AC$2:$AC$338, pokemon!$T$2:$T$338))</f>
        <v>11</v>
      </c>
      <c r="I93" s="59">
        <f t="shared" si="2"/>
        <v>0</v>
      </c>
    </row>
    <row r="94" spans="1:9" s="8" customFormat="1" x14ac:dyDescent="0.25">
      <c r="A94" s="59" t="s">
        <v>511</v>
      </c>
      <c r="B94" s="46" t="s">
        <v>16</v>
      </c>
      <c r="C94" s="25">
        <v>70</v>
      </c>
      <c r="D94" s="29">
        <f t="shared" si="3"/>
        <v>3</v>
      </c>
      <c r="E94" s="26" t="s">
        <v>686</v>
      </c>
      <c r="F94" s="26">
        <f>COUNTIF(pokemon!$AC$2:$AC$338, A94)</f>
        <v>3</v>
      </c>
      <c r="G94" s="59" cm="1">
        <f t="array" ref="G94">MIN(IF($A94=pokemon!$AC$2:$AC$338, pokemon!$T$2:$T$338))</f>
        <v>10</v>
      </c>
      <c r="H94" s="59" cm="1">
        <f t="array" ref="H94">MAX(IF($A94=pokemon!$AC$2:$AC$338, pokemon!$T$2:$T$338))</f>
        <v>11</v>
      </c>
      <c r="I94" s="59">
        <f t="shared" si="2"/>
        <v>1</v>
      </c>
    </row>
    <row r="95" spans="1:9" x14ac:dyDescent="0.25">
      <c r="A95" s="26" t="s">
        <v>497</v>
      </c>
      <c r="B95" s="38" t="s">
        <v>5</v>
      </c>
      <c r="C95" s="25">
        <v>60</v>
      </c>
      <c r="D95" s="29">
        <f t="shared" si="3"/>
        <v>3</v>
      </c>
      <c r="E95" s="26" t="s">
        <v>686</v>
      </c>
      <c r="F95" s="26">
        <f>COUNTIF(pokemon!$AC$2:$AC$338, A95)</f>
        <v>4</v>
      </c>
      <c r="G95" s="26" cm="1">
        <f t="array" ref="G95">MIN(IF($A95=pokemon!$AC$2:$AC$338, pokemon!$T$2:$T$338))</f>
        <v>10</v>
      </c>
      <c r="H95" s="26" cm="1">
        <f t="array" ref="H95">MAX(IF($A95=pokemon!$AC$2:$AC$338, pokemon!$T$2:$T$338))</f>
        <v>14</v>
      </c>
      <c r="I95" s="26">
        <f t="shared" si="2"/>
        <v>4</v>
      </c>
    </row>
    <row r="96" spans="1:9" x14ac:dyDescent="0.25">
      <c r="A96" s="59" t="s">
        <v>764</v>
      </c>
      <c r="B96" s="37" t="s">
        <v>13</v>
      </c>
      <c r="C96" s="25">
        <v>65</v>
      </c>
      <c r="D96" s="29">
        <f t="shared" si="3"/>
        <v>3</v>
      </c>
      <c r="E96" s="26" t="s">
        <v>687</v>
      </c>
      <c r="F96" s="26">
        <f>COUNTIF(pokemon!$AC$2:$AC$338, A96)</f>
        <v>2</v>
      </c>
      <c r="G96" s="59" cm="1">
        <f t="array" ref="G96">MIN(IF($A96=pokemon!$AC$2:$AC$338, pokemon!$T$2:$T$338))</f>
        <v>7</v>
      </c>
      <c r="H96" s="59" cm="1">
        <f t="array" ref="H96">MAX(IF($A96=pokemon!$AC$2:$AC$338, pokemon!$T$2:$T$338))</f>
        <v>11</v>
      </c>
      <c r="I96" s="59">
        <f t="shared" si="2"/>
        <v>4</v>
      </c>
    </row>
    <row r="97" spans="1:9" x14ac:dyDescent="0.25">
      <c r="A97" s="27" t="s">
        <v>884</v>
      </c>
      <c r="B97" s="31" t="s">
        <v>4</v>
      </c>
      <c r="C97" s="25">
        <v>60</v>
      </c>
      <c r="D97" s="25">
        <f t="shared" si="3"/>
        <v>3</v>
      </c>
      <c r="E97" s="26" t="s">
        <v>885</v>
      </c>
      <c r="F97" s="26">
        <f>COUNTIF(pokemon!$AC$2:$AC$338, A97)</f>
        <v>2</v>
      </c>
      <c r="G97" s="27" cm="1">
        <f t="array" ref="G97">MIN(IF($A97=pokemon!$AC$2:$AC$338, pokemon!$T$2:$T$338))</f>
        <v>10</v>
      </c>
      <c r="H97" s="27" cm="1">
        <f t="array" ref="H97">MAX(IF($A97=pokemon!$AC$2:$AC$338, pokemon!$T$2:$T$338))</f>
        <v>13</v>
      </c>
      <c r="I97" s="27">
        <f t="shared" si="2"/>
        <v>3</v>
      </c>
    </row>
    <row r="98" spans="1:9" x14ac:dyDescent="0.25">
      <c r="A98" s="27" t="s">
        <v>932</v>
      </c>
      <c r="B98" s="39" t="s">
        <v>26</v>
      </c>
      <c r="C98" s="25">
        <v>60</v>
      </c>
      <c r="D98" s="25">
        <f t="shared" si="3"/>
        <v>3</v>
      </c>
      <c r="E98" s="27" t="s">
        <v>933</v>
      </c>
      <c r="F98" s="26">
        <f>COUNTIF(pokemon!$AC$2:$AC$338, A98)</f>
        <v>1</v>
      </c>
      <c r="G98" s="27" cm="1">
        <f t="array" ref="G98">MIN(IF($A98=pokemon!$AC$2:$AC$338, pokemon!$T$2:$T$338))</f>
        <v>16</v>
      </c>
      <c r="H98" s="27" cm="1">
        <f t="array" ref="H98">MAX(IF($A98=pokemon!$AC$2:$AC$338, pokemon!$T$2:$T$338))</f>
        <v>16</v>
      </c>
      <c r="I98" s="27">
        <f t="shared" si="2"/>
        <v>0</v>
      </c>
    </row>
    <row r="99" spans="1:9" x14ac:dyDescent="0.25">
      <c r="A99" s="59" t="s">
        <v>698</v>
      </c>
      <c r="B99" s="42" t="s">
        <v>42</v>
      </c>
      <c r="C99" s="25">
        <v>60</v>
      </c>
      <c r="D99" s="29">
        <f t="shared" si="3"/>
        <v>3</v>
      </c>
      <c r="E99" s="26" t="s">
        <v>1241</v>
      </c>
      <c r="F99" s="26">
        <f>COUNTIF(pokemon!$AC$2:$AC$338, A99)</f>
        <v>1</v>
      </c>
      <c r="G99" s="59" cm="1">
        <f t="array" ref="G99">MIN(IF($A99=pokemon!$AC$2:$AC$338, pokemon!$T$2:$T$338))</f>
        <v>17</v>
      </c>
      <c r="H99" s="59" cm="1">
        <f t="array" ref="H99">MAX(IF($A99=pokemon!$AC$2:$AC$338, pokemon!$T$2:$T$338))</f>
        <v>17</v>
      </c>
      <c r="I99" s="59">
        <f t="shared" si="2"/>
        <v>0</v>
      </c>
    </row>
    <row r="100" spans="1:9" s="8" customFormat="1" x14ac:dyDescent="0.25">
      <c r="A100" s="27" t="s">
        <v>892</v>
      </c>
      <c r="B100" s="45" t="s">
        <v>39</v>
      </c>
      <c r="C100" s="25">
        <v>70</v>
      </c>
      <c r="D100" s="25">
        <f t="shared" si="3"/>
        <v>3</v>
      </c>
      <c r="E100" s="26" t="s">
        <v>893</v>
      </c>
      <c r="F100" s="26">
        <f>COUNTIF(pokemon!$AC$2:$AC$338, A100)</f>
        <v>1</v>
      </c>
      <c r="G100" s="27" cm="1">
        <f t="array" ref="G100">MIN(IF($A100=pokemon!$AC$2:$AC$338, pokemon!$T$2:$T$338))</f>
        <v>13</v>
      </c>
      <c r="H100" s="27" cm="1">
        <f t="array" ref="H100">MAX(IF($A100=pokemon!$AC$2:$AC$338, pokemon!$T$2:$T$338))</f>
        <v>13</v>
      </c>
      <c r="I100" s="27">
        <f t="shared" si="2"/>
        <v>0</v>
      </c>
    </row>
    <row r="101" spans="1:9" x14ac:dyDescent="0.25">
      <c r="A101" s="27" t="s">
        <v>1143</v>
      </c>
      <c r="B101" s="32" t="s">
        <v>6</v>
      </c>
      <c r="C101" s="25">
        <v>65</v>
      </c>
      <c r="D101" s="25">
        <f t="shared" si="3"/>
        <v>3</v>
      </c>
      <c r="E101" s="26" t="s">
        <v>890</v>
      </c>
      <c r="F101" s="26">
        <f>COUNTIF(pokemon!$AC$2:$AC$338, A101)</f>
        <v>1</v>
      </c>
      <c r="G101" s="27" cm="1">
        <f t="array" ref="G101">MIN(IF($A101=pokemon!$AC$2:$AC$338, pokemon!$T$2:$T$338))</f>
        <v>10</v>
      </c>
      <c r="H101" s="27" cm="1">
        <f t="array" ref="H101">MAX(IF($A101=pokemon!$AC$2:$AC$338, pokemon!$T$2:$T$338))</f>
        <v>10</v>
      </c>
      <c r="I101" s="27">
        <f t="shared" si="2"/>
        <v>0</v>
      </c>
    </row>
    <row r="102" spans="1:9" x14ac:dyDescent="0.25">
      <c r="A102" s="26" t="s">
        <v>596</v>
      </c>
      <c r="B102" s="37" t="s">
        <v>13</v>
      </c>
      <c r="C102" s="25">
        <v>60</v>
      </c>
      <c r="D102" s="29">
        <f t="shared" si="3"/>
        <v>3</v>
      </c>
      <c r="E102" s="26" t="s">
        <v>618</v>
      </c>
      <c r="F102" s="26">
        <f>COUNTIF(pokemon!$AC$2:$AC$338, A102)</f>
        <v>2</v>
      </c>
      <c r="G102" s="26" cm="1">
        <f t="array" ref="G102">MIN(IF($A102=pokemon!$AC$2:$AC$338, pokemon!$T$2:$T$338))</f>
        <v>14</v>
      </c>
      <c r="H102" s="26" cm="1">
        <f t="array" ref="H102">MAX(IF($A102=pokemon!$AC$2:$AC$338, pokemon!$T$2:$T$338))</f>
        <v>14</v>
      </c>
      <c r="I102" s="26">
        <f t="shared" si="2"/>
        <v>0</v>
      </c>
    </row>
    <row r="103" spans="1:9" s="8" customFormat="1" x14ac:dyDescent="0.25">
      <c r="A103" s="26" t="s">
        <v>750</v>
      </c>
      <c r="B103" s="27" t="s">
        <v>553</v>
      </c>
      <c r="C103" s="25">
        <v>75</v>
      </c>
      <c r="D103" s="29">
        <f t="shared" si="3"/>
        <v>4</v>
      </c>
      <c r="E103" s="26" t="s">
        <v>567</v>
      </c>
      <c r="F103" s="26">
        <f>COUNTIF(pokemon!$AC$2:$AC$338, A103)</f>
        <v>1</v>
      </c>
      <c r="G103" s="26" cm="1">
        <f t="array" ref="G103">MIN(IF($A103=pokemon!$AC$2:$AC$338, pokemon!$T$2:$T$338))</f>
        <v>16</v>
      </c>
      <c r="H103" s="26" cm="1">
        <f t="array" ref="H103">MAX(IF($A103=pokemon!$AC$2:$AC$338, pokemon!$T$2:$T$338))</f>
        <v>16</v>
      </c>
      <c r="I103" s="26">
        <f t="shared" si="2"/>
        <v>0</v>
      </c>
    </row>
    <row r="104" spans="1:9" s="8" customFormat="1" x14ac:dyDescent="0.25">
      <c r="A104" s="59" t="s">
        <v>1290</v>
      </c>
      <c r="B104" s="27" t="s">
        <v>553</v>
      </c>
      <c r="C104" s="25">
        <v>75</v>
      </c>
      <c r="D104" s="29">
        <f t="shared" si="3"/>
        <v>4</v>
      </c>
      <c r="E104" s="59" t="s">
        <v>1309</v>
      </c>
      <c r="F104" s="59">
        <f>COUNTIF(pokemon!$AC$2:$AC$338, A104)</f>
        <v>3</v>
      </c>
      <c r="G104" s="59" cm="1">
        <f t="array" ref="G104">MIN(IF($A104=pokemon!$AC$2:$AC$338, pokemon!$T$2:$T$338))</f>
        <v>14</v>
      </c>
      <c r="H104" s="59" cm="1">
        <f t="array" ref="H104">MAX(IF($A104=pokemon!$AC$2:$AC$338, pokemon!$T$2:$T$338))</f>
        <v>14</v>
      </c>
      <c r="I104" s="59">
        <f t="shared" ref="I104" si="4">H104-G104</f>
        <v>0</v>
      </c>
    </row>
    <row r="105" spans="1:9" x14ac:dyDescent="0.25">
      <c r="A105" s="27" t="s">
        <v>831</v>
      </c>
      <c r="B105" s="27" t="s">
        <v>553</v>
      </c>
      <c r="C105" s="25">
        <v>90</v>
      </c>
      <c r="D105" s="25">
        <f t="shared" si="3"/>
        <v>4</v>
      </c>
      <c r="E105" s="26" t="s">
        <v>859</v>
      </c>
      <c r="F105" s="26">
        <f>COUNTIF(pokemon!$AC$2:$AC$338, A105)</f>
        <v>1</v>
      </c>
      <c r="G105" s="27" cm="1">
        <f t="array" ref="G105">MIN(IF($A105=pokemon!$AC$2:$AC$338, pokemon!$T$2:$T$338))</f>
        <v>20</v>
      </c>
      <c r="H105" s="27" cm="1">
        <f t="array" ref="H105">MAX(IF($A105=pokemon!$AC$2:$AC$338, pokemon!$T$2:$T$338))</f>
        <v>20</v>
      </c>
      <c r="I105" s="27">
        <f t="shared" si="2"/>
        <v>0</v>
      </c>
    </row>
    <row r="106" spans="1:9" s="8" customFormat="1" x14ac:dyDescent="0.25">
      <c r="A106" s="59" t="s">
        <v>741</v>
      </c>
      <c r="B106" s="28" t="s">
        <v>22</v>
      </c>
      <c r="C106" s="25">
        <v>75</v>
      </c>
      <c r="D106" s="29">
        <f t="shared" si="3"/>
        <v>4</v>
      </c>
      <c r="E106" s="26" t="s">
        <v>747</v>
      </c>
      <c r="F106" s="26">
        <f>COUNTIF(pokemon!$AC$2:$AC$338, A106)</f>
        <v>1</v>
      </c>
      <c r="G106" s="59" cm="1">
        <f t="array" ref="G106">MIN(IF($A106=pokemon!$AC$2:$AC$338, pokemon!$T$2:$T$338))</f>
        <v>28</v>
      </c>
      <c r="H106" s="59" cm="1">
        <f t="array" ref="H106">MAX(IF($A106=pokemon!$AC$2:$AC$338, pokemon!$T$2:$T$338))</f>
        <v>28</v>
      </c>
      <c r="I106" s="59">
        <f t="shared" si="2"/>
        <v>0</v>
      </c>
    </row>
    <row r="107" spans="1:9" s="8" customFormat="1" x14ac:dyDescent="0.25">
      <c r="A107" s="26" t="s">
        <v>518</v>
      </c>
      <c r="B107" s="38" t="s">
        <v>5</v>
      </c>
      <c r="C107" s="25">
        <v>75</v>
      </c>
      <c r="D107" s="29">
        <f t="shared" si="3"/>
        <v>4</v>
      </c>
      <c r="E107" s="26" t="s">
        <v>585</v>
      </c>
      <c r="F107" s="26">
        <f>COUNTIF(pokemon!$AC$2:$AC$338, A107)</f>
        <v>7</v>
      </c>
      <c r="G107" s="26" cm="1">
        <f t="array" ref="G107">MIN(IF($A107=pokemon!$AC$2:$AC$338, pokemon!$T$2:$T$338))</f>
        <v>14</v>
      </c>
      <c r="H107" s="26" cm="1">
        <f t="array" ref="H107">MAX(IF($A107=pokemon!$AC$2:$AC$338, pokemon!$T$2:$T$338))</f>
        <v>23</v>
      </c>
      <c r="I107" s="26">
        <f t="shared" si="2"/>
        <v>9</v>
      </c>
    </row>
    <row r="108" spans="1:9" s="8" customFormat="1" x14ac:dyDescent="0.25">
      <c r="A108" s="26" t="s">
        <v>467</v>
      </c>
      <c r="B108" s="36" t="s">
        <v>3</v>
      </c>
      <c r="C108" s="25">
        <v>75</v>
      </c>
      <c r="D108" s="29">
        <f t="shared" si="3"/>
        <v>4</v>
      </c>
      <c r="E108" s="26" t="s">
        <v>585</v>
      </c>
      <c r="F108" s="26">
        <f>COUNTIF(pokemon!$AC$2:$AC$338, A108)</f>
        <v>2</v>
      </c>
      <c r="G108" s="26" cm="1">
        <f t="array" ref="G108">MIN(IF($A108=pokemon!$AC$2:$AC$338, pokemon!$T$2:$T$338))</f>
        <v>17</v>
      </c>
      <c r="H108" s="26" cm="1">
        <f t="array" ref="H108">MAX(IF($A108=pokemon!$AC$2:$AC$338, pokemon!$T$2:$T$338))</f>
        <v>19</v>
      </c>
      <c r="I108" s="26">
        <f t="shared" si="2"/>
        <v>2</v>
      </c>
    </row>
    <row r="109" spans="1:9" x14ac:dyDescent="0.25">
      <c r="A109" s="26" t="s">
        <v>781</v>
      </c>
      <c r="B109" s="34" t="s">
        <v>2</v>
      </c>
      <c r="C109" s="25">
        <v>85</v>
      </c>
      <c r="D109" s="29">
        <f t="shared" si="3"/>
        <v>4</v>
      </c>
      <c r="E109" s="26" t="s">
        <v>585</v>
      </c>
      <c r="F109" s="26">
        <f>COUNTIF(pokemon!$AC$2:$AC$338, A109)</f>
        <v>2</v>
      </c>
      <c r="G109" s="26" cm="1">
        <f t="array" ref="G109">MIN(IF($A109=pokemon!$AC$2:$AC$338, pokemon!$T$2:$T$338))</f>
        <v>14</v>
      </c>
      <c r="H109" s="26" cm="1">
        <f t="array" ref="H109">MAX(IF($A109=pokemon!$AC$2:$AC$338, pokemon!$T$2:$T$338))</f>
        <v>18</v>
      </c>
      <c r="I109" s="26">
        <f t="shared" si="2"/>
        <v>4</v>
      </c>
    </row>
    <row r="110" spans="1:9" x14ac:dyDescent="0.25">
      <c r="A110" s="26" t="s">
        <v>524</v>
      </c>
      <c r="B110" s="44" t="s">
        <v>9</v>
      </c>
      <c r="C110" s="25">
        <v>75</v>
      </c>
      <c r="D110" s="29">
        <f t="shared" si="3"/>
        <v>4</v>
      </c>
      <c r="E110" s="26" t="s">
        <v>585</v>
      </c>
      <c r="F110" s="26">
        <f>COUNTIF(pokemon!$AC$2:$AC$338, A110)</f>
        <v>2</v>
      </c>
      <c r="G110" s="26" cm="1">
        <f t="array" ref="G110">MIN(IF($A110=pokemon!$AC$2:$AC$338, pokemon!$T$2:$T$338))</f>
        <v>16</v>
      </c>
      <c r="H110" s="26" cm="1">
        <f t="array" ref="H110">MAX(IF($A110=pokemon!$AC$2:$AC$338, pokemon!$T$2:$T$338))</f>
        <v>17</v>
      </c>
      <c r="I110" s="26">
        <f t="shared" si="2"/>
        <v>1</v>
      </c>
    </row>
    <row r="111" spans="1:9" s="8" customFormat="1" x14ac:dyDescent="0.25">
      <c r="A111" s="27" t="s">
        <v>904</v>
      </c>
      <c r="B111" s="39" t="s">
        <v>26</v>
      </c>
      <c r="C111" s="25">
        <v>75</v>
      </c>
      <c r="D111" s="25">
        <f t="shared" si="3"/>
        <v>4</v>
      </c>
      <c r="E111" s="26" t="s">
        <v>585</v>
      </c>
      <c r="F111" s="26">
        <f>COUNTIF(pokemon!$AC$2:$AC$338, A111)</f>
        <v>1</v>
      </c>
      <c r="G111" s="27" cm="1">
        <f t="array" ref="G111">MIN(IF($A111=pokemon!$AC$2:$AC$338, pokemon!$T$2:$T$338))</f>
        <v>16</v>
      </c>
      <c r="H111" s="27" cm="1">
        <f t="array" ref="H111">MAX(IF($A111=pokemon!$AC$2:$AC$338, pokemon!$T$2:$T$338))</f>
        <v>16</v>
      </c>
      <c r="I111" s="27">
        <f t="shared" si="2"/>
        <v>0</v>
      </c>
    </row>
    <row r="112" spans="1:9" x14ac:dyDescent="0.25">
      <c r="A112" s="59" t="s">
        <v>534</v>
      </c>
      <c r="B112" s="30" t="s">
        <v>8</v>
      </c>
      <c r="C112" s="25">
        <v>75</v>
      </c>
      <c r="D112" s="29">
        <f t="shared" si="3"/>
        <v>4</v>
      </c>
      <c r="E112" s="59" t="s">
        <v>585</v>
      </c>
      <c r="F112" s="26">
        <f>COUNTIF(pokemon!$AC$2:$AC$338, A112)</f>
        <v>2</v>
      </c>
      <c r="G112" s="59" cm="1">
        <f t="array" ref="G112">MIN(IF($A112=pokemon!$AC$2:$AC$338, pokemon!$T$2:$T$338))</f>
        <v>16</v>
      </c>
      <c r="H112" s="59" cm="1">
        <f t="array" ref="H112">MAX(IF($A112=pokemon!$AC$2:$AC$338, pokemon!$T$2:$T$338))</f>
        <v>16</v>
      </c>
      <c r="I112" s="59">
        <f t="shared" si="2"/>
        <v>0</v>
      </c>
    </row>
    <row r="113" spans="1:9" x14ac:dyDescent="0.25">
      <c r="A113" s="26" t="s">
        <v>670</v>
      </c>
      <c r="B113" s="40" t="s">
        <v>7</v>
      </c>
      <c r="C113" s="25">
        <v>80</v>
      </c>
      <c r="D113" s="29">
        <f t="shared" si="3"/>
        <v>4</v>
      </c>
      <c r="E113" s="26" t="s">
        <v>585</v>
      </c>
      <c r="F113" s="26">
        <f>COUNTIF(pokemon!$AC$2:$AC$338, A113)</f>
        <v>2</v>
      </c>
      <c r="G113" s="26" cm="1">
        <f t="array" ref="G113">MIN(IF($A113=pokemon!$AC$2:$AC$338, pokemon!$T$2:$T$338))</f>
        <v>14</v>
      </c>
      <c r="H113" s="26" cm="1">
        <f t="array" ref="H113">MAX(IF($A113=pokemon!$AC$2:$AC$338, pokemon!$T$2:$T$338))</f>
        <v>18</v>
      </c>
      <c r="I113" s="26">
        <f t="shared" si="2"/>
        <v>4</v>
      </c>
    </row>
    <row r="114" spans="1:9" x14ac:dyDescent="0.25">
      <c r="A114" s="59" t="s">
        <v>532</v>
      </c>
      <c r="B114" s="32" t="s">
        <v>6</v>
      </c>
      <c r="C114" s="25">
        <v>75</v>
      </c>
      <c r="D114" s="29">
        <f t="shared" si="3"/>
        <v>4</v>
      </c>
      <c r="E114" s="26" t="s">
        <v>826</v>
      </c>
      <c r="F114" s="26">
        <f>COUNTIF(pokemon!$AC$2:$AC$338, A114)</f>
        <v>1</v>
      </c>
      <c r="G114" s="59" cm="1">
        <f t="array" ref="G114">MIN(IF($A114=pokemon!$AC$2:$AC$338, pokemon!$T$2:$T$338))</f>
        <v>16</v>
      </c>
      <c r="H114" s="59" cm="1">
        <f t="array" ref="H114">MAX(IF($A114=pokemon!$AC$2:$AC$338, pokemon!$T$2:$T$338))</f>
        <v>16</v>
      </c>
      <c r="I114" s="59">
        <f t="shared" si="2"/>
        <v>0</v>
      </c>
    </row>
    <row r="115" spans="1:9" s="8" customFormat="1" x14ac:dyDescent="0.25">
      <c r="A115" s="59" t="s">
        <v>514</v>
      </c>
      <c r="B115" s="30" t="s">
        <v>8</v>
      </c>
      <c r="C115" s="25">
        <v>90</v>
      </c>
      <c r="D115" s="29">
        <f t="shared" si="3"/>
        <v>4</v>
      </c>
      <c r="E115" s="26" t="s">
        <v>977</v>
      </c>
      <c r="F115" s="26">
        <f>COUNTIF(pokemon!$AC$2:$AC$338, A115)</f>
        <v>1</v>
      </c>
      <c r="G115" s="59" cm="1">
        <f t="array" ref="G115">MIN(IF($A115=pokemon!$AC$2:$AC$338, pokemon!$T$2:$T$338))</f>
        <v>15</v>
      </c>
      <c r="H115" s="59" cm="1">
        <f t="array" ref="H115">MAX(IF($A115=pokemon!$AC$2:$AC$338, pokemon!$T$2:$T$338))</f>
        <v>15</v>
      </c>
      <c r="I115" s="59">
        <f t="shared" si="2"/>
        <v>0</v>
      </c>
    </row>
    <row r="116" spans="1:9" x14ac:dyDescent="0.25">
      <c r="A116" s="59" t="s">
        <v>786</v>
      </c>
      <c r="B116" s="42" t="s">
        <v>42</v>
      </c>
      <c r="C116" s="25">
        <v>80</v>
      </c>
      <c r="D116" s="29">
        <f t="shared" si="3"/>
        <v>4</v>
      </c>
      <c r="E116" s="26" t="s">
        <v>947</v>
      </c>
      <c r="F116" s="26">
        <f>COUNTIF(pokemon!$AC$2:$AC$338, A116)</f>
        <v>2</v>
      </c>
      <c r="G116" s="59" cm="1">
        <f t="array" ref="G116">MIN(IF($A116=pokemon!$AC$2:$AC$338, pokemon!$T$2:$T$338))</f>
        <v>18</v>
      </c>
      <c r="H116" s="59" cm="1">
        <f t="array" ref="H116">MAX(IF($A116=pokemon!$AC$2:$AC$338, pokemon!$T$2:$T$338))</f>
        <v>21</v>
      </c>
      <c r="I116" s="59">
        <f t="shared" si="2"/>
        <v>3</v>
      </c>
    </row>
    <row r="117" spans="1:9" s="8" customFormat="1" x14ac:dyDescent="0.25">
      <c r="A117" s="27" t="s">
        <v>944</v>
      </c>
      <c r="B117" s="34" t="s">
        <v>2</v>
      </c>
      <c r="C117" s="25">
        <v>80</v>
      </c>
      <c r="D117" s="25">
        <f t="shared" si="3"/>
        <v>4</v>
      </c>
      <c r="E117" s="27" t="s">
        <v>945</v>
      </c>
      <c r="F117" s="26">
        <f>COUNTIF(pokemon!$AC$2:$AC$338, A117)</f>
        <v>1</v>
      </c>
      <c r="G117" s="27" cm="1">
        <f t="array" ref="G117">MIN(IF($A117=pokemon!$AC$2:$AC$338, pokemon!$T$2:$T$338))</f>
        <v>15</v>
      </c>
      <c r="H117" s="27" cm="1">
        <f t="array" ref="H117">MAX(IF($A117=pokemon!$AC$2:$AC$338, pokemon!$T$2:$T$338))</f>
        <v>15</v>
      </c>
      <c r="I117" s="27">
        <f t="shared" si="2"/>
        <v>0</v>
      </c>
    </row>
    <row r="118" spans="1:9" s="8" customFormat="1" x14ac:dyDescent="0.25">
      <c r="A118" s="59" t="s">
        <v>713</v>
      </c>
      <c r="B118" s="45" t="s">
        <v>39</v>
      </c>
      <c r="C118" s="25">
        <v>80</v>
      </c>
      <c r="D118" s="29">
        <f t="shared" si="3"/>
        <v>4</v>
      </c>
      <c r="E118" s="26" t="s">
        <v>946</v>
      </c>
      <c r="F118" s="26">
        <f>COUNTIF(pokemon!$AC$2:$AC$338, A118)</f>
        <v>1</v>
      </c>
      <c r="G118" s="59" cm="1">
        <f t="array" ref="G118">MIN(IF($A118=pokemon!$AC$2:$AC$338, pokemon!$T$2:$T$338))</f>
        <v>18</v>
      </c>
      <c r="H118" s="59" cm="1">
        <f t="array" ref="H118">MAX(IF($A118=pokemon!$AC$2:$AC$338, pokemon!$T$2:$T$338))</f>
        <v>18</v>
      </c>
      <c r="I118" s="59">
        <f t="shared" si="2"/>
        <v>0</v>
      </c>
    </row>
    <row r="119" spans="1:9" x14ac:dyDescent="0.25">
      <c r="A119" s="27" t="s">
        <v>968</v>
      </c>
      <c r="B119" s="32" t="s">
        <v>6</v>
      </c>
      <c r="C119" s="25">
        <v>80</v>
      </c>
      <c r="D119" s="25">
        <f t="shared" si="3"/>
        <v>4</v>
      </c>
      <c r="E119" s="26" t="s">
        <v>946</v>
      </c>
      <c r="F119" s="26">
        <f>COUNTIF(pokemon!$AC$2:$AC$338, A119)</f>
        <v>1</v>
      </c>
      <c r="G119" s="27" cm="1">
        <f t="array" ref="G119">MIN(IF($A119=pokemon!$AC$2:$AC$338, pokemon!$T$2:$T$338))</f>
        <v>16</v>
      </c>
      <c r="H119" s="27" cm="1">
        <f t="array" ref="H119">MAX(IF($A119=pokemon!$AC$2:$AC$338, pokemon!$T$2:$T$338))</f>
        <v>16</v>
      </c>
      <c r="I119" s="27">
        <f t="shared" si="2"/>
        <v>0</v>
      </c>
    </row>
    <row r="120" spans="1:9" x14ac:dyDescent="0.25">
      <c r="A120" s="27" t="s">
        <v>928</v>
      </c>
      <c r="B120" s="42" t="s">
        <v>42</v>
      </c>
      <c r="C120" s="25">
        <v>80</v>
      </c>
      <c r="D120" s="25">
        <f t="shared" si="3"/>
        <v>4</v>
      </c>
      <c r="E120" s="26" t="s">
        <v>1307</v>
      </c>
      <c r="F120" s="26">
        <f>COUNTIF(pokemon!$AC$2:$AC$338, A120)</f>
        <v>0</v>
      </c>
      <c r="G120" s="27" cm="1">
        <f t="array" ref="G120">MIN(IF($A120=pokemon!$AC$2:$AC$338, pokemon!$T$2:$T$338))</f>
        <v>0</v>
      </c>
      <c r="H120" s="27" cm="1">
        <f t="array" ref="H120">MAX(IF($A120=pokemon!$AC$2:$AC$338, pokemon!$T$2:$T$338))</f>
        <v>0</v>
      </c>
      <c r="I120" s="27">
        <f t="shared" si="2"/>
        <v>0</v>
      </c>
    </row>
    <row r="121" spans="1:9" x14ac:dyDescent="0.25">
      <c r="A121" s="27" t="s">
        <v>925</v>
      </c>
      <c r="B121" s="32" t="s">
        <v>6</v>
      </c>
      <c r="C121" s="25">
        <v>80</v>
      </c>
      <c r="D121" s="25">
        <f t="shared" si="3"/>
        <v>4</v>
      </c>
      <c r="E121" s="26" t="s">
        <v>1308</v>
      </c>
      <c r="F121" s="26">
        <f>COUNTIF(pokemon!$AC$2:$AC$338, A121)</f>
        <v>0</v>
      </c>
      <c r="G121" s="27" cm="1">
        <f t="array" ref="G121">MIN(IF($A121=pokemon!$AC$2:$AC$338, pokemon!$T$2:$T$338))</f>
        <v>0</v>
      </c>
      <c r="H121" s="27" cm="1">
        <f t="array" ref="H121">MAX(IF($A121=pokemon!$AC$2:$AC$338, pokemon!$T$2:$T$338))</f>
        <v>0</v>
      </c>
      <c r="I121" s="27">
        <f t="shared" si="2"/>
        <v>0</v>
      </c>
    </row>
    <row r="122" spans="1:9" x14ac:dyDescent="0.25">
      <c r="A122" s="27" t="s">
        <v>929</v>
      </c>
      <c r="B122" s="31" t="s">
        <v>4</v>
      </c>
      <c r="C122" s="25">
        <v>80</v>
      </c>
      <c r="D122" s="25">
        <f t="shared" si="3"/>
        <v>4</v>
      </c>
      <c r="E122" s="26" t="s">
        <v>1306</v>
      </c>
      <c r="F122" s="26">
        <f>COUNTIF(pokemon!$AC$2:$AC$338, A122)</f>
        <v>0</v>
      </c>
      <c r="G122" s="27" cm="1">
        <f t="array" ref="G122">MIN(IF($A122=pokemon!$AC$2:$AC$338, pokemon!$T$2:$T$338))</f>
        <v>0</v>
      </c>
      <c r="H122" s="27" cm="1">
        <f t="array" ref="H122">MAX(IF($A122=pokemon!$AC$2:$AC$338, pokemon!$T$2:$T$338))</f>
        <v>0</v>
      </c>
      <c r="I122" s="27">
        <f t="shared" si="2"/>
        <v>0</v>
      </c>
    </row>
    <row r="123" spans="1:9" x14ac:dyDescent="0.25">
      <c r="A123" s="27" t="s">
        <v>927</v>
      </c>
      <c r="B123" s="33" t="s">
        <v>11</v>
      </c>
      <c r="C123" s="25">
        <v>80</v>
      </c>
      <c r="D123" s="25">
        <f t="shared" si="3"/>
        <v>4</v>
      </c>
      <c r="E123" s="26" t="s">
        <v>959</v>
      </c>
      <c r="F123" s="26">
        <f>COUNTIF(pokemon!$AC$2:$AC$338, A123)</f>
        <v>0</v>
      </c>
      <c r="G123" s="27" cm="1">
        <f t="array" ref="G123">MIN(IF($A123=pokemon!$AC$2:$AC$338, pokemon!$T$2:$T$338))</f>
        <v>0</v>
      </c>
      <c r="H123" s="27" cm="1">
        <f t="array" ref="H123">MAX(IF($A123=pokemon!$AC$2:$AC$338, pokemon!$T$2:$T$338))</f>
        <v>0</v>
      </c>
      <c r="I123" s="27">
        <f t="shared" si="2"/>
        <v>0</v>
      </c>
    </row>
    <row r="124" spans="1:9" s="8" customFormat="1" x14ac:dyDescent="0.25">
      <c r="A124" s="27" t="s">
        <v>931</v>
      </c>
      <c r="B124" s="46" t="s">
        <v>16</v>
      </c>
      <c r="C124" s="25">
        <v>80</v>
      </c>
      <c r="D124" s="25">
        <f t="shared" si="3"/>
        <v>4</v>
      </c>
      <c r="E124" s="26" t="s">
        <v>1199</v>
      </c>
      <c r="F124" s="26">
        <f>COUNTIF(pokemon!$AC$2:$AC$338, A124)</f>
        <v>0</v>
      </c>
      <c r="G124" s="27" cm="1">
        <f t="array" ref="G124">MIN(IF($A124=pokemon!$AC$2:$AC$338, pokemon!$T$2:$T$338))</f>
        <v>0</v>
      </c>
      <c r="H124" s="27" cm="1">
        <f t="array" ref="H124">MAX(IF($A124=pokemon!$AC$2:$AC$338, pokemon!$T$2:$T$338))</f>
        <v>0</v>
      </c>
      <c r="I124" s="27">
        <f t="shared" si="2"/>
        <v>0</v>
      </c>
    </row>
    <row r="125" spans="1:9" s="8" customFormat="1" x14ac:dyDescent="0.25">
      <c r="A125" s="27" t="s">
        <v>924</v>
      </c>
      <c r="B125" s="34" t="s">
        <v>2</v>
      </c>
      <c r="C125" s="25">
        <v>80</v>
      </c>
      <c r="D125" s="25">
        <f t="shared" si="3"/>
        <v>4</v>
      </c>
      <c r="E125" s="26" t="s">
        <v>962</v>
      </c>
      <c r="F125" s="26">
        <f>COUNTIF(pokemon!$AC$2:$AC$338, A125)</f>
        <v>0</v>
      </c>
      <c r="G125" s="27" cm="1">
        <f t="array" ref="G125">MIN(IF($A125=pokemon!$AC$2:$AC$338, pokemon!$T$2:$T$338))</f>
        <v>0</v>
      </c>
      <c r="H125" s="27" cm="1">
        <f t="array" ref="H125">MAX(IF($A125=pokemon!$AC$2:$AC$338, pokemon!$T$2:$T$338))</f>
        <v>0</v>
      </c>
      <c r="I125" s="27">
        <f t="shared" si="2"/>
        <v>0</v>
      </c>
    </row>
    <row r="126" spans="1:9" s="8" customFormat="1" x14ac:dyDescent="0.25">
      <c r="A126" s="27" t="s">
        <v>923</v>
      </c>
      <c r="B126" s="28" t="s">
        <v>22</v>
      </c>
      <c r="C126" s="25">
        <v>80</v>
      </c>
      <c r="D126" s="25">
        <f t="shared" si="3"/>
        <v>4</v>
      </c>
      <c r="E126" s="26" t="s">
        <v>961</v>
      </c>
      <c r="F126" s="26">
        <f>COUNTIF(pokemon!$AC$2:$AC$338, A126)</f>
        <v>0</v>
      </c>
      <c r="G126" s="27" cm="1">
        <f t="array" ref="G126">MIN(IF($A126=pokemon!$AC$2:$AC$338, pokemon!$T$2:$T$338))</f>
        <v>0</v>
      </c>
      <c r="H126" s="27" cm="1">
        <f t="array" ref="H126">MAX(IF($A126=pokemon!$AC$2:$AC$338, pokemon!$T$2:$T$338))</f>
        <v>0</v>
      </c>
      <c r="I126" s="27">
        <f t="shared" si="2"/>
        <v>0</v>
      </c>
    </row>
    <row r="127" spans="1:9" x14ac:dyDescent="0.25">
      <c r="A127" s="27" t="s">
        <v>926</v>
      </c>
      <c r="B127" s="35" t="s">
        <v>14</v>
      </c>
      <c r="C127" s="25">
        <v>80</v>
      </c>
      <c r="D127" s="25">
        <f t="shared" si="3"/>
        <v>4</v>
      </c>
      <c r="E127" s="26" t="s">
        <v>960</v>
      </c>
      <c r="F127" s="26">
        <f>COUNTIF(pokemon!$AC$2:$AC$338, A127)</f>
        <v>0</v>
      </c>
      <c r="G127" s="27" cm="1">
        <f t="array" ref="G127">MIN(IF($A127=pokemon!$AC$2:$AC$338, pokemon!$T$2:$T$338))</f>
        <v>0</v>
      </c>
      <c r="H127" s="27" cm="1">
        <f t="array" ref="H127">MAX(IF($A127=pokemon!$AC$2:$AC$338, pokemon!$T$2:$T$338))</f>
        <v>0</v>
      </c>
      <c r="I127" s="27">
        <f t="shared" si="2"/>
        <v>0</v>
      </c>
    </row>
    <row r="128" spans="1:9" s="8" customFormat="1" x14ac:dyDescent="0.25">
      <c r="A128" s="26" t="s">
        <v>519</v>
      </c>
      <c r="B128" s="40" t="s">
        <v>7</v>
      </c>
      <c r="C128" s="25">
        <v>80</v>
      </c>
      <c r="D128" s="29">
        <f t="shared" si="3"/>
        <v>4</v>
      </c>
      <c r="E128" s="57" t="s">
        <v>950</v>
      </c>
      <c r="F128" s="26">
        <f>COUNTIF(pokemon!$AC$2:$AC$338, A128)</f>
        <v>1</v>
      </c>
      <c r="G128" s="26" cm="1">
        <f t="array" ref="G128">MIN(IF($A128=pokemon!$AC$2:$AC$338, pokemon!$T$2:$T$338))</f>
        <v>15</v>
      </c>
      <c r="H128" s="26" cm="1">
        <f t="array" ref="H128">MAX(IF($A128=pokemon!$AC$2:$AC$338, pokemon!$T$2:$T$338))</f>
        <v>15</v>
      </c>
      <c r="I128" s="26">
        <f t="shared" si="2"/>
        <v>0</v>
      </c>
    </row>
    <row r="129" spans="1:9" s="8" customFormat="1" x14ac:dyDescent="0.25">
      <c r="A129" s="26" t="s">
        <v>589</v>
      </c>
      <c r="B129" s="32" t="s">
        <v>6</v>
      </c>
      <c r="C129" s="25">
        <v>90</v>
      </c>
      <c r="D129" s="29">
        <f t="shared" si="3"/>
        <v>4</v>
      </c>
      <c r="E129" s="56" t="s">
        <v>842</v>
      </c>
      <c r="F129" s="26">
        <f>COUNTIF(pokemon!$AC$2:$AC$338, A129)</f>
        <v>6</v>
      </c>
      <c r="G129" s="26" cm="1">
        <f t="array" ref="G129">MIN(IF($A129=pokemon!$AC$2:$AC$338, pokemon!$T$2:$T$338))</f>
        <v>14</v>
      </c>
      <c r="H129" s="26" cm="1">
        <f t="array" ref="H129">MAX(IF($A129=pokemon!$AC$2:$AC$338, pokemon!$T$2:$T$338))</f>
        <v>17</v>
      </c>
      <c r="I129" s="26">
        <f t="shared" si="2"/>
        <v>3</v>
      </c>
    </row>
    <row r="130" spans="1:9" x14ac:dyDescent="0.25">
      <c r="A130" s="26" t="s">
        <v>483</v>
      </c>
      <c r="B130" s="31" t="s">
        <v>4</v>
      </c>
      <c r="C130" s="25">
        <v>80</v>
      </c>
      <c r="D130" s="29">
        <f t="shared" si="3"/>
        <v>4</v>
      </c>
      <c r="E130" s="58" t="s">
        <v>602</v>
      </c>
      <c r="F130" s="26">
        <f>COUNTIF(pokemon!$AC$2:$AC$338, A130)</f>
        <v>2</v>
      </c>
      <c r="G130" s="26" cm="1">
        <f t="array" ref="G130">MIN(IF($A130=pokemon!$AC$2:$AC$338, pokemon!$T$2:$T$338))</f>
        <v>17</v>
      </c>
      <c r="H130" s="26" cm="1">
        <f t="array" ref="H130">MAX(IF($A130=pokemon!$AC$2:$AC$338, pokemon!$T$2:$T$338))</f>
        <v>17</v>
      </c>
      <c r="I130" s="26">
        <f t="shared" si="2"/>
        <v>0</v>
      </c>
    </row>
    <row r="131" spans="1:9" s="8" customFormat="1" x14ac:dyDescent="0.25">
      <c r="A131" s="59" t="s">
        <v>486</v>
      </c>
      <c r="B131" s="32" t="s">
        <v>6</v>
      </c>
      <c r="C131" s="25">
        <v>80</v>
      </c>
      <c r="D131" s="29">
        <f t="shared" si="3"/>
        <v>4</v>
      </c>
      <c r="E131" s="26" t="s">
        <v>602</v>
      </c>
      <c r="F131" s="26">
        <f>COUNTIF(pokemon!$AC$2:$AC$338, A131)</f>
        <v>1</v>
      </c>
      <c r="G131" s="59" cm="1">
        <f t="array" ref="G131">MIN(IF($A131=pokemon!$AC$2:$AC$338, pokemon!$T$2:$T$338))</f>
        <v>16</v>
      </c>
      <c r="H131" s="59" cm="1">
        <f t="array" ref="H131">MAX(IF($A131=pokemon!$AC$2:$AC$338, pokemon!$T$2:$T$338))</f>
        <v>16</v>
      </c>
      <c r="I131" s="59">
        <f t="shared" si="2"/>
        <v>0</v>
      </c>
    </row>
    <row r="132" spans="1:9" x14ac:dyDescent="0.25">
      <c r="A132" s="26" t="s">
        <v>498</v>
      </c>
      <c r="B132" s="39" t="s">
        <v>26</v>
      </c>
      <c r="C132" s="25">
        <v>80</v>
      </c>
      <c r="D132" s="29">
        <f t="shared" si="3"/>
        <v>4</v>
      </c>
      <c r="E132" s="26" t="s">
        <v>603</v>
      </c>
      <c r="F132" s="26">
        <f>COUNTIF(pokemon!$AC$2:$AC$338, A132)</f>
        <v>3</v>
      </c>
      <c r="G132" s="26" cm="1">
        <f t="array" ref="G132">MIN(IF($A132=pokemon!$AC$2:$AC$338, pokemon!$T$2:$T$338))</f>
        <v>16</v>
      </c>
      <c r="H132" s="26" cm="1">
        <f t="array" ref="H132">MAX(IF($A132=pokemon!$AC$2:$AC$338, pokemon!$T$2:$T$338))</f>
        <v>18</v>
      </c>
      <c r="I132" s="26">
        <f t="shared" ref="I132:I194" si="5">H132-G132</f>
        <v>2</v>
      </c>
    </row>
    <row r="133" spans="1:9" s="8" customFormat="1" x14ac:dyDescent="0.25">
      <c r="A133" s="26" t="s">
        <v>492</v>
      </c>
      <c r="B133" s="35" t="s">
        <v>14</v>
      </c>
      <c r="C133" s="25">
        <v>80</v>
      </c>
      <c r="D133" s="29">
        <f t="shared" si="3"/>
        <v>4</v>
      </c>
      <c r="E133" s="26" t="s">
        <v>605</v>
      </c>
      <c r="F133" s="26">
        <f>COUNTIF(pokemon!$AC$2:$AC$338, A133)</f>
        <v>1</v>
      </c>
      <c r="G133" s="26" cm="1">
        <f t="array" ref="G133">MIN(IF($A133=pokemon!$AC$2:$AC$338, pokemon!$T$2:$T$338))</f>
        <v>16</v>
      </c>
      <c r="H133" s="26" cm="1">
        <f t="array" ref="H133">MAX(IF($A133=pokemon!$AC$2:$AC$338, pokemon!$T$2:$T$338))</f>
        <v>16</v>
      </c>
      <c r="I133" s="26">
        <f t="shared" si="5"/>
        <v>0</v>
      </c>
    </row>
    <row r="134" spans="1:9" s="8" customFormat="1" x14ac:dyDescent="0.25">
      <c r="A134" s="26" t="s">
        <v>614</v>
      </c>
      <c r="B134" s="35" t="s">
        <v>14</v>
      </c>
      <c r="C134" s="25">
        <v>75</v>
      </c>
      <c r="D134" s="29">
        <f t="shared" si="3"/>
        <v>4</v>
      </c>
      <c r="E134" s="26" t="s">
        <v>605</v>
      </c>
      <c r="F134" s="26">
        <f>COUNTIF(pokemon!$AC$2:$AC$338, A134)</f>
        <v>3</v>
      </c>
      <c r="G134" s="26" cm="1">
        <f t="array" ref="G134">MIN(IF($A134=pokemon!$AC$2:$AC$338, pokemon!$T$2:$T$338))</f>
        <v>18</v>
      </c>
      <c r="H134" s="26" cm="1">
        <f t="array" ref="H134">MAX(IF($A134=pokemon!$AC$2:$AC$338, pokemon!$T$2:$T$338))</f>
        <v>21</v>
      </c>
      <c r="I134" s="26">
        <f t="shared" si="5"/>
        <v>3</v>
      </c>
    </row>
    <row r="135" spans="1:9" x14ac:dyDescent="0.25">
      <c r="A135" s="26" t="s">
        <v>529</v>
      </c>
      <c r="B135" s="30" t="s">
        <v>8</v>
      </c>
      <c r="C135" s="25">
        <v>85</v>
      </c>
      <c r="D135" s="29">
        <f t="shared" si="3"/>
        <v>4</v>
      </c>
      <c r="E135" s="26" t="s">
        <v>604</v>
      </c>
      <c r="F135" s="26">
        <f>COUNTIF(pokemon!$AC$2:$AC$338, A135)</f>
        <v>1</v>
      </c>
      <c r="G135" s="26" cm="1">
        <f t="array" ref="G135">MIN(IF($A135=pokemon!$AC$2:$AC$338, pokemon!$T$2:$T$338))</f>
        <v>19</v>
      </c>
      <c r="H135" s="26" cm="1">
        <f t="array" ref="H135">MAX(IF($A135=pokemon!$AC$2:$AC$338, pokemon!$T$2:$T$338))</f>
        <v>19</v>
      </c>
      <c r="I135" s="26">
        <f t="shared" si="5"/>
        <v>0</v>
      </c>
    </row>
    <row r="136" spans="1:9" ht="15.75" customHeight="1" x14ac:dyDescent="0.25">
      <c r="A136" s="26" t="s">
        <v>615</v>
      </c>
      <c r="B136" s="40" t="s">
        <v>7</v>
      </c>
      <c r="C136" s="25">
        <v>80</v>
      </c>
      <c r="D136" s="29">
        <f t="shared" si="3"/>
        <v>4</v>
      </c>
      <c r="E136" s="26" t="s">
        <v>604</v>
      </c>
      <c r="F136" s="26">
        <f>COUNTIF(pokemon!$AC$2:$AC$338, A136)</f>
        <v>2</v>
      </c>
      <c r="G136" s="26" cm="1">
        <f t="array" ref="G136">MIN(IF($A136=pokemon!$AC$2:$AC$338, pokemon!$T$2:$T$338))</f>
        <v>13</v>
      </c>
      <c r="H136" s="26" cm="1">
        <f t="array" ref="H136">MAX(IF($A136=pokemon!$AC$2:$AC$338, pokemon!$T$2:$T$338))</f>
        <v>18</v>
      </c>
      <c r="I136" s="26">
        <f t="shared" si="5"/>
        <v>5</v>
      </c>
    </row>
    <row r="137" spans="1:9" s="8" customFormat="1" ht="15.75" customHeight="1" x14ac:dyDescent="0.25">
      <c r="A137" s="26" t="s">
        <v>488</v>
      </c>
      <c r="B137" s="33" t="s">
        <v>11</v>
      </c>
      <c r="C137" s="25">
        <v>80</v>
      </c>
      <c r="D137" s="29">
        <f t="shared" ref="D137:D199" si="6">IF(NOT(ISBLANK(C137)), IF(ISNUMBER(C137), ROUND((C137 - 5)/20, 0), C137), "")</f>
        <v>4</v>
      </c>
      <c r="E137" s="26" t="s">
        <v>604</v>
      </c>
      <c r="F137" s="26">
        <f>COUNTIF(pokemon!$AC$2:$AC$338, A137)</f>
        <v>1</v>
      </c>
      <c r="G137" s="26" cm="1">
        <f t="array" ref="G137">MIN(IF($A137=pokemon!$AC$2:$AC$338, pokemon!$T$2:$T$338))</f>
        <v>17</v>
      </c>
      <c r="H137" s="26" cm="1">
        <f t="array" ref="H137">MAX(IF($A137=pokemon!$AC$2:$AC$338, pokemon!$T$2:$T$338))</f>
        <v>17</v>
      </c>
      <c r="I137" s="26">
        <f t="shared" si="5"/>
        <v>0</v>
      </c>
    </row>
    <row r="138" spans="1:9" ht="15.75" customHeight="1" x14ac:dyDescent="0.25">
      <c r="A138" s="26" t="s">
        <v>949</v>
      </c>
      <c r="B138" s="36" t="s">
        <v>3</v>
      </c>
      <c r="C138" s="25">
        <v>80</v>
      </c>
      <c r="D138" s="29">
        <f t="shared" si="6"/>
        <v>4</v>
      </c>
      <c r="E138" s="26" t="s">
        <v>652</v>
      </c>
      <c r="F138" s="26">
        <f>COUNTIF(pokemon!$AC$2:$AC$338, A138)</f>
        <v>1</v>
      </c>
      <c r="G138" s="26" cm="1">
        <f t="array" ref="G138">MIN(IF($A138=pokemon!$AC$2:$AC$338, pokemon!$T$2:$T$338))</f>
        <v>17</v>
      </c>
      <c r="H138" s="26" cm="1">
        <f t="array" ref="H138">MAX(IF($A138=pokemon!$AC$2:$AC$338, pokemon!$T$2:$T$338))</f>
        <v>17</v>
      </c>
      <c r="I138" s="26">
        <f t="shared" si="5"/>
        <v>0</v>
      </c>
    </row>
    <row r="139" spans="1:9" x14ac:dyDescent="0.25">
      <c r="A139" s="26" t="s">
        <v>535</v>
      </c>
      <c r="B139" s="30" t="s">
        <v>8</v>
      </c>
      <c r="C139" s="25">
        <v>80</v>
      </c>
      <c r="D139" s="29">
        <f t="shared" si="6"/>
        <v>4</v>
      </c>
      <c r="E139" s="26" t="s">
        <v>654</v>
      </c>
      <c r="F139" s="26">
        <f>COUNTIF(pokemon!$AC$2:$AC$338, A139)</f>
        <v>3</v>
      </c>
      <c r="G139" s="26" cm="1">
        <f t="array" ref="G139">MIN(IF($A139=pokemon!$AC$2:$AC$338, pokemon!$T$2:$T$338))</f>
        <v>16</v>
      </c>
      <c r="H139" s="26" cm="1">
        <f t="array" ref="H139">MAX(IF($A139=pokemon!$AC$2:$AC$338, pokemon!$T$2:$T$338))</f>
        <v>22</v>
      </c>
      <c r="I139" s="26">
        <f t="shared" si="5"/>
        <v>6</v>
      </c>
    </row>
    <row r="140" spans="1:9" s="8" customFormat="1" x14ac:dyDescent="0.25">
      <c r="A140" s="26" t="s">
        <v>745</v>
      </c>
      <c r="B140" s="34" t="s">
        <v>2</v>
      </c>
      <c r="C140" s="25">
        <v>80</v>
      </c>
      <c r="D140" s="29">
        <f t="shared" si="6"/>
        <v>4</v>
      </c>
      <c r="E140" s="26" t="s">
        <v>850</v>
      </c>
      <c r="F140" s="26">
        <f>COUNTIF(pokemon!$AC$2:$AC$338, A140)</f>
        <v>1</v>
      </c>
      <c r="G140" s="26" cm="1">
        <f t="array" ref="G140">MIN(IF($A140=pokemon!$AC$2:$AC$338, pokemon!$T$2:$T$338))</f>
        <v>28</v>
      </c>
      <c r="H140" s="26" cm="1">
        <f t="array" ref="H140">MAX(IF($A140=pokemon!$AC$2:$AC$338, pokemon!$T$2:$T$338))</f>
        <v>28</v>
      </c>
      <c r="I140" s="26">
        <f t="shared" si="5"/>
        <v>0</v>
      </c>
    </row>
    <row r="141" spans="1:9" s="8" customFormat="1" x14ac:dyDescent="0.25">
      <c r="A141" s="59" t="s">
        <v>551</v>
      </c>
      <c r="B141" s="42" t="s">
        <v>42</v>
      </c>
      <c r="C141" s="25">
        <v>80</v>
      </c>
      <c r="D141" s="29">
        <f t="shared" si="6"/>
        <v>4</v>
      </c>
      <c r="E141" s="26" t="s">
        <v>843</v>
      </c>
      <c r="F141" s="26">
        <f>COUNTIF(pokemon!$AC$2:$AC$338, A141)</f>
        <v>1</v>
      </c>
      <c r="G141" s="59" cm="1">
        <f t="array" ref="G141">MIN(IF($A141=pokemon!$AC$2:$AC$338, pokemon!$T$2:$T$338))</f>
        <v>20</v>
      </c>
      <c r="H141" s="59" cm="1">
        <f t="array" ref="H141">MAX(IF($A141=pokemon!$AC$2:$AC$338, pokemon!$T$2:$T$338))</f>
        <v>20</v>
      </c>
      <c r="I141" s="59">
        <f t="shared" si="5"/>
        <v>0</v>
      </c>
    </row>
    <row r="142" spans="1:9" x14ac:dyDescent="0.25">
      <c r="A142" s="26" t="s">
        <v>699</v>
      </c>
      <c r="B142" s="33" t="s">
        <v>11</v>
      </c>
      <c r="C142" s="25">
        <v>85</v>
      </c>
      <c r="D142" s="29">
        <f t="shared" si="6"/>
        <v>4</v>
      </c>
      <c r="E142" s="26" t="s">
        <v>971</v>
      </c>
      <c r="F142" s="26">
        <f>COUNTIF(pokemon!$AC$2:$AC$338, A142)</f>
        <v>3</v>
      </c>
      <c r="G142" s="26" cm="1">
        <f t="array" ref="G142">MIN(IF($A142=pokemon!$AC$2:$AC$338, pokemon!$T$2:$T$338))</f>
        <v>18</v>
      </c>
      <c r="H142" s="26" cm="1">
        <f t="array" ref="H142">MAX(IF($A142=pokemon!$AC$2:$AC$338, pokemon!$T$2:$T$338))</f>
        <v>21</v>
      </c>
      <c r="I142" s="26">
        <f t="shared" si="5"/>
        <v>3</v>
      </c>
    </row>
    <row r="143" spans="1:9" x14ac:dyDescent="0.25">
      <c r="A143" s="27" t="s">
        <v>886</v>
      </c>
      <c r="B143" s="31" t="s">
        <v>4</v>
      </c>
      <c r="C143" s="25">
        <v>80</v>
      </c>
      <c r="D143" s="25">
        <f t="shared" si="6"/>
        <v>4</v>
      </c>
      <c r="E143" s="26" t="s">
        <v>972</v>
      </c>
      <c r="F143" s="26">
        <v>1</v>
      </c>
      <c r="G143" s="27" cm="1">
        <f t="array" ref="G143">MIN(IF($A143=pokemon!$AC$2:$AC$338, pokemon!$T$2:$T$338))</f>
        <v>19</v>
      </c>
      <c r="H143" s="27" cm="1">
        <f t="array" ref="H143">MAX(IF($A143=pokemon!$AC$2:$AC$338, pokemon!$T$2:$T$338))</f>
        <v>19</v>
      </c>
      <c r="I143" s="27">
        <f t="shared" si="5"/>
        <v>0</v>
      </c>
    </row>
    <row r="144" spans="1:9" x14ac:dyDescent="0.25">
      <c r="A144" s="26" t="s">
        <v>823</v>
      </c>
      <c r="B144" s="32" t="s">
        <v>6</v>
      </c>
      <c r="C144" s="25">
        <v>75</v>
      </c>
      <c r="D144" s="29">
        <f t="shared" si="6"/>
        <v>4</v>
      </c>
      <c r="E144" s="26" t="s">
        <v>973</v>
      </c>
      <c r="F144" s="26">
        <f>COUNTIF(pokemon!$AC$2:$AC$338, A144)</f>
        <v>2</v>
      </c>
      <c r="G144" s="26" cm="1">
        <f t="array" ref="G144">MIN(IF($A144=pokemon!$AC$2:$AC$338, pokemon!$T$2:$T$338))</f>
        <v>18</v>
      </c>
      <c r="H144" s="26" cm="1">
        <f t="array" ref="H144">MAX(IF($A144=pokemon!$AC$2:$AC$338, pokemon!$T$2:$T$338))</f>
        <v>21</v>
      </c>
      <c r="I144" s="26">
        <f t="shared" si="5"/>
        <v>3</v>
      </c>
    </row>
    <row r="145" spans="1:9" x14ac:dyDescent="0.25">
      <c r="A145" s="26" t="s">
        <v>619</v>
      </c>
      <c r="B145" s="44" t="s">
        <v>9</v>
      </c>
      <c r="C145" s="25">
        <v>60</v>
      </c>
      <c r="D145" s="29">
        <f t="shared" si="6"/>
        <v>3</v>
      </c>
      <c r="E145" s="26" t="s">
        <v>1267</v>
      </c>
      <c r="F145" s="26">
        <f>COUNTIF(pokemon!$AC$2:$AC$338, A145)</f>
        <v>1</v>
      </c>
      <c r="G145" s="26" cm="1">
        <f t="array" ref="G145">MIN(IF($A145=pokemon!$AC$2:$AC$338, pokemon!$T$2:$T$338))</f>
        <v>20</v>
      </c>
      <c r="H145" s="26" cm="1">
        <f t="array" ref="H145">MAX(IF($A145=pokemon!$AC$2:$AC$338, pokemon!$T$2:$T$338))</f>
        <v>20</v>
      </c>
      <c r="I145" s="26">
        <f t="shared" si="5"/>
        <v>0</v>
      </c>
    </row>
    <row r="146" spans="1:9" x14ac:dyDescent="0.25">
      <c r="A146" s="26" t="s">
        <v>539</v>
      </c>
      <c r="B146" s="31" t="s">
        <v>4</v>
      </c>
      <c r="C146" s="25">
        <v>90</v>
      </c>
      <c r="D146" s="29">
        <f t="shared" si="6"/>
        <v>4</v>
      </c>
      <c r="E146" s="26" t="s">
        <v>825</v>
      </c>
      <c r="F146" s="26">
        <f>COUNTIF(pokemon!$AC$2:$AC$338, A146)</f>
        <v>1</v>
      </c>
      <c r="G146" s="26" cm="1">
        <f t="array" ref="G146">MIN(IF($A146=pokemon!$AC$2:$AC$338, pokemon!$T$2:$T$338))</f>
        <v>20</v>
      </c>
      <c r="H146" s="26" cm="1">
        <f t="array" ref="H146">MAX(IF($A146=pokemon!$AC$2:$AC$338, pokemon!$T$2:$T$338))</f>
        <v>20</v>
      </c>
      <c r="I146" s="26">
        <f t="shared" si="5"/>
        <v>0</v>
      </c>
    </row>
    <row r="147" spans="1:9" x14ac:dyDescent="0.25">
      <c r="A147" s="59" t="s">
        <v>494</v>
      </c>
      <c r="B147" s="28" t="s">
        <v>22</v>
      </c>
      <c r="C147" s="25">
        <v>80</v>
      </c>
      <c r="D147" s="29">
        <f t="shared" si="6"/>
        <v>4</v>
      </c>
      <c r="E147" s="26" t="s">
        <v>586</v>
      </c>
      <c r="F147" s="26">
        <f>COUNTIF(pokemon!$AC$2:$AC$338, A147)</f>
        <v>1</v>
      </c>
      <c r="G147" s="59" cm="1">
        <f t="array" ref="G147">MIN(IF($A147=pokemon!$AC$2:$AC$338, pokemon!$T$2:$T$338))</f>
        <v>18</v>
      </c>
      <c r="H147" s="59" cm="1">
        <f t="array" ref="H147">MAX(IF($A147=pokemon!$AC$2:$AC$338, pokemon!$T$2:$T$338))</f>
        <v>18</v>
      </c>
      <c r="I147" s="59">
        <f t="shared" si="5"/>
        <v>0</v>
      </c>
    </row>
    <row r="148" spans="1:9" x14ac:dyDescent="0.25">
      <c r="A148" s="26" t="s">
        <v>815</v>
      </c>
      <c r="B148" s="43" t="s">
        <v>67</v>
      </c>
      <c r="C148" s="25">
        <v>80</v>
      </c>
      <c r="D148" s="29">
        <f t="shared" si="6"/>
        <v>4</v>
      </c>
      <c r="E148" s="26" t="s">
        <v>586</v>
      </c>
      <c r="F148" s="26">
        <f>COUNTIF(pokemon!$AC$2:$AC$338, A148)</f>
        <v>3</v>
      </c>
      <c r="G148" s="26" cm="1">
        <f t="array" ref="G148">MIN(IF($A148=pokemon!$AC$2:$AC$338, pokemon!$T$2:$T$338))</f>
        <v>19</v>
      </c>
      <c r="H148" s="26" cm="1">
        <f t="array" ref="H148">MAX(IF($A148=pokemon!$AC$2:$AC$338, pokemon!$T$2:$T$338))</f>
        <v>22</v>
      </c>
      <c r="I148" s="26">
        <f t="shared" si="5"/>
        <v>3</v>
      </c>
    </row>
    <row r="149" spans="1:9" x14ac:dyDescent="0.25">
      <c r="A149" s="27" t="s">
        <v>1274</v>
      </c>
      <c r="B149" s="28" t="s">
        <v>22</v>
      </c>
      <c r="C149" s="25">
        <v>90</v>
      </c>
      <c r="D149" s="25">
        <f t="shared" si="6"/>
        <v>4</v>
      </c>
      <c r="E149" s="27" t="s">
        <v>1279</v>
      </c>
      <c r="F149" s="26">
        <f>COUNTIF(pokemon!$AC$2:$AC$338, A149)</f>
        <v>1</v>
      </c>
      <c r="G149" s="27" cm="1">
        <f t="array" ref="G149">MIN(IF($A149=pokemon!$AC$2:$AC$338, pokemon!$T$2:$T$338))</f>
        <v>15</v>
      </c>
      <c r="H149" s="27" cm="1">
        <f t="array" ref="H149">MAX(IF($A149=pokemon!$AC$2:$AC$338, pokemon!$T$2:$T$338))</f>
        <v>15</v>
      </c>
      <c r="I149" s="27">
        <f t="shared" si="5"/>
        <v>0</v>
      </c>
    </row>
    <row r="150" spans="1:9" x14ac:dyDescent="0.25">
      <c r="A150" s="26" t="s">
        <v>490</v>
      </c>
      <c r="B150" s="34" t="s">
        <v>2</v>
      </c>
      <c r="C150" s="25">
        <v>75</v>
      </c>
      <c r="D150" s="29">
        <f t="shared" si="6"/>
        <v>4</v>
      </c>
      <c r="E150" s="26" t="s">
        <v>640</v>
      </c>
      <c r="F150" s="26">
        <f>COUNTIF(pokemon!$AC$2:$AC$338, A150)</f>
        <v>4</v>
      </c>
      <c r="G150" s="26" cm="1">
        <f t="array" ref="G150">MIN(IF($A150=pokemon!$AC$2:$AC$338, pokemon!$T$2:$T$338))</f>
        <v>13</v>
      </c>
      <c r="H150" s="26" cm="1">
        <f t="array" ref="H150">MAX(IF($A150=pokemon!$AC$2:$AC$338, pokemon!$T$2:$T$338))</f>
        <v>22</v>
      </c>
      <c r="I150" s="26">
        <f t="shared" si="5"/>
        <v>9</v>
      </c>
    </row>
    <row r="151" spans="1:9" x14ac:dyDescent="0.25">
      <c r="A151" s="27" t="s">
        <v>970</v>
      </c>
      <c r="B151" s="30" t="s">
        <v>8</v>
      </c>
      <c r="C151" s="25">
        <v>80</v>
      </c>
      <c r="D151" s="25">
        <f t="shared" si="6"/>
        <v>4</v>
      </c>
      <c r="E151" s="26" t="s">
        <v>1312</v>
      </c>
      <c r="F151" s="26">
        <f>COUNTIF(pokemon!$AC$2:$AC$338, A151)</f>
        <v>1</v>
      </c>
      <c r="G151" s="27" cm="1">
        <f t="array" ref="G151">MIN(IF($A151=pokemon!$AC$2:$AC$338, pokemon!$T$2:$T$338))</f>
        <v>18</v>
      </c>
      <c r="H151" s="27" cm="1">
        <f t="array" ref="H151">MAX(IF($A151=pokemon!$AC$2:$AC$338, pokemon!$T$2:$T$338))</f>
        <v>18</v>
      </c>
      <c r="I151" s="27">
        <f t="shared" si="5"/>
        <v>0</v>
      </c>
    </row>
    <row r="152" spans="1:9" x14ac:dyDescent="0.25">
      <c r="A152" s="26" t="s">
        <v>507</v>
      </c>
      <c r="B152" s="44" t="s">
        <v>9</v>
      </c>
      <c r="C152" s="25">
        <v>80</v>
      </c>
      <c r="D152" s="29">
        <f t="shared" si="6"/>
        <v>4</v>
      </c>
      <c r="E152" s="26" t="s">
        <v>606</v>
      </c>
      <c r="F152" s="26">
        <f>COUNTIF(pokemon!$AC$2:$AC$338, A152)</f>
        <v>2</v>
      </c>
      <c r="G152" s="26" cm="1">
        <f t="array" ref="G152">MIN(IF($A152=pokemon!$AC$2:$AC$338, pokemon!$T$2:$T$338))</f>
        <v>16</v>
      </c>
      <c r="H152" s="26" cm="1">
        <f t="array" ref="H152">MAX(IF($A152=pokemon!$AC$2:$AC$338, pokemon!$T$2:$T$338))</f>
        <v>18</v>
      </c>
      <c r="I152" s="26">
        <f t="shared" si="5"/>
        <v>2</v>
      </c>
    </row>
    <row r="153" spans="1:9" s="8" customFormat="1" x14ac:dyDescent="0.25">
      <c r="A153" s="59" t="s">
        <v>509</v>
      </c>
      <c r="B153" s="45" t="s">
        <v>39</v>
      </c>
      <c r="C153" s="25">
        <v>90</v>
      </c>
      <c r="D153" s="29">
        <f t="shared" si="6"/>
        <v>4</v>
      </c>
      <c r="E153" s="26" t="s">
        <v>606</v>
      </c>
      <c r="F153" s="26">
        <f>COUNTIF(pokemon!$AC$2:$AC$338, A153)</f>
        <v>2</v>
      </c>
      <c r="G153" s="59" cm="1">
        <f t="array" ref="G153">MIN(IF($A153=pokemon!$AC$2:$AC$338, pokemon!$T$2:$T$338))</f>
        <v>14</v>
      </c>
      <c r="H153" s="59" cm="1">
        <f t="array" ref="H153">MAX(IF($A153=pokemon!$AC$2:$AC$338, pokemon!$T$2:$T$338))</f>
        <v>17</v>
      </c>
      <c r="I153" s="59">
        <f t="shared" si="5"/>
        <v>3</v>
      </c>
    </row>
    <row r="154" spans="1:9" s="8" customFormat="1" x14ac:dyDescent="0.25">
      <c r="A154" s="26" t="s">
        <v>793</v>
      </c>
      <c r="B154" s="32" t="s">
        <v>6</v>
      </c>
      <c r="C154" s="25">
        <v>75</v>
      </c>
      <c r="D154" s="29">
        <f t="shared" si="6"/>
        <v>4</v>
      </c>
      <c r="E154" s="26" t="s">
        <v>606</v>
      </c>
      <c r="F154" s="26">
        <f>COUNTIF(pokemon!$AC$2:$AC$338, A154)</f>
        <v>1</v>
      </c>
      <c r="G154" s="26" cm="1">
        <f t="array" ref="G154">MIN(IF($A154=pokemon!$AC$2:$AC$338, pokemon!$T$2:$T$338))</f>
        <v>14</v>
      </c>
      <c r="H154" s="26" cm="1">
        <f t="array" ref="H154">MAX(IF($A154=pokemon!$AC$2:$AC$338, pokemon!$T$2:$T$338))</f>
        <v>14</v>
      </c>
      <c r="I154" s="26">
        <f t="shared" si="5"/>
        <v>0</v>
      </c>
    </row>
    <row r="155" spans="1:9" s="6" customFormat="1" x14ac:dyDescent="0.25">
      <c r="A155" s="26" t="s">
        <v>572</v>
      </c>
      <c r="B155" s="42" t="s">
        <v>42</v>
      </c>
      <c r="C155" s="25">
        <v>80</v>
      </c>
      <c r="D155" s="29">
        <f t="shared" si="6"/>
        <v>4</v>
      </c>
      <c r="E155" s="26" t="s">
        <v>606</v>
      </c>
      <c r="F155" s="26">
        <f>COUNTIF(pokemon!$AC$2:$AC$338, A155)</f>
        <v>1</v>
      </c>
      <c r="G155" s="26" cm="1">
        <f t="array" ref="G155">MIN(IF($A155=pokemon!$AC$2:$AC$338, pokemon!$T$2:$T$338))</f>
        <v>16</v>
      </c>
      <c r="H155" s="26" cm="1">
        <f t="array" ref="H155">MAX(IF($A155=pokemon!$AC$2:$AC$338, pokemon!$T$2:$T$338))</f>
        <v>16</v>
      </c>
      <c r="I155" s="26">
        <f t="shared" si="5"/>
        <v>0</v>
      </c>
    </row>
    <row r="156" spans="1:9" x14ac:dyDescent="0.25">
      <c r="A156" s="26" t="s">
        <v>751</v>
      </c>
      <c r="B156" s="46" t="s">
        <v>16</v>
      </c>
      <c r="C156" s="25">
        <v>75</v>
      </c>
      <c r="D156" s="29">
        <f t="shared" si="6"/>
        <v>4</v>
      </c>
      <c r="E156" s="26" t="s">
        <v>687</v>
      </c>
      <c r="F156" s="26">
        <f>COUNTIF(pokemon!$AC$2:$AC$338, A156)</f>
        <v>1</v>
      </c>
      <c r="G156" s="26" cm="1">
        <f t="array" ref="G156">MIN(IF($A156=pokemon!$AC$2:$AC$338, pokemon!$T$2:$T$338))</f>
        <v>14</v>
      </c>
      <c r="H156" s="26" cm="1">
        <f t="array" ref="H156">MAX(IF($A156=pokemon!$AC$2:$AC$338, pokemon!$T$2:$T$338))</f>
        <v>14</v>
      </c>
      <c r="I156" s="26">
        <f t="shared" si="5"/>
        <v>0</v>
      </c>
    </row>
    <row r="157" spans="1:9" s="8" customFormat="1" x14ac:dyDescent="0.25">
      <c r="A157" s="59" t="s">
        <v>510</v>
      </c>
      <c r="B157" s="45" t="s">
        <v>39</v>
      </c>
      <c r="C157" s="25">
        <v>80</v>
      </c>
      <c r="D157" s="29">
        <f t="shared" si="6"/>
        <v>4</v>
      </c>
      <c r="E157" s="59" t="s">
        <v>687</v>
      </c>
      <c r="F157" s="59">
        <f>COUNTIF(pokemon!$AC$2:$AC$338, A157)</f>
        <v>1</v>
      </c>
      <c r="G157" s="59" cm="1">
        <f t="array" ref="G157">MIN(IF($A157=pokemon!$AC$2:$AC$338, pokemon!$T$2:$T$338))</f>
        <v>19</v>
      </c>
      <c r="H157" s="59" cm="1">
        <f t="array" ref="H157">MAX(IF($A157=pokemon!$AC$2:$AC$338, pokemon!$T$2:$T$338))</f>
        <v>19</v>
      </c>
      <c r="I157" s="59">
        <f t="shared" si="5"/>
        <v>0</v>
      </c>
    </row>
    <row r="158" spans="1:9" s="8" customFormat="1" x14ac:dyDescent="0.25">
      <c r="A158" s="59" t="s">
        <v>685</v>
      </c>
      <c r="B158" s="44" t="s">
        <v>9</v>
      </c>
      <c r="C158" s="25">
        <v>85</v>
      </c>
      <c r="D158" s="29">
        <f t="shared" si="6"/>
        <v>4</v>
      </c>
      <c r="E158" s="59" t="s">
        <v>687</v>
      </c>
      <c r="F158" s="59">
        <f>COUNTIF(pokemon!$AC$2:$AC$338, A158)</f>
        <v>1</v>
      </c>
      <c r="G158" s="59" cm="1">
        <f t="array" ref="G158">MIN(IF($A158=pokemon!$AC$2:$AC$338, pokemon!$T$2:$T$338))</f>
        <v>17</v>
      </c>
      <c r="H158" s="59" cm="1">
        <f t="array" ref="H158">MAX(IF($A158=pokemon!$AC$2:$AC$338, pokemon!$T$2:$T$338))</f>
        <v>17</v>
      </c>
      <c r="I158" s="59">
        <f t="shared" si="5"/>
        <v>0</v>
      </c>
    </row>
    <row r="159" spans="1:9" s="8" customFormat="1" x14ac:dyDescent="0.25">
      <c r="A159" s="27" t="s">
        <v>891</v>
      </c>
      <c r="B159" s="32" t="s">
        <v>6</v>
      </c>
      <c r="C159" s="25">
        <v>90</v>
      </c>
      <c r="D159" s="25">
        <f t="shared" si="6"/>
        <v>4</v>
      </c>
      <c r="E159" s="59" t="s">
        <v>1246</v>
      </c>
      <c r="F159" s="59">
        <f>COUNTIF(pokemon!$AC$2:$AC$338, A159)</f>
        <v>1</v>
      </c>
      <c r="G159" s="27" cm="1">
        <f t="array" ref="G159">MIN(IF($A159=pokemon!$AC$2:$AC$338, pokemon!$T$2:$T$338))</f>
        <v>14</v>
      </c>
      <c r="H159" s="27" cm="1">
        <f t="array" ref="H159">MAX(IF($A159=pokemon!$AC$2:$AC$338, pokemon!$T$2:$T$338))</f>
        <v>14</v>
      </c>
      <c r="I159" s="27">
        <f t="shared" si="5"/>
        <v>0</v>
      </c>
    </row>
    <row r="160" spans="1:9" s="8" customFormat="1" x14ac:dyDescent="0.25">
      <c r="A160" s="27" t="s">
        <v>1243</v>
      </c>
      <c r="B160" s="39" t="s">
        <v>26</v>
      </c>
      <c r="C160" s="25">
        <v>80</v>
      </c>
      <c r="D160" s="25">
        <f t="shared" si="6"/>
        <v>4</v>
      </c>
      <c r="E160" s="27" t="s">
        <v>1244</v>
      </c>
      <c r="F160" s="26">
        <f>COUNTIF(pokemon!$AC$2:$AC$338, A160)</f>
        <v>1</v>
      </c>
      <c r="G160" s="27" cm="1">
        <f t="array" ref="G160">MIN(IF($A160=pokemon!$AC$2:$AC$338, pokemon!$T$2:$T$338))</f>
        <v>20</v>
      </c>
      <c r="H160" s="27" cm="1">
        <f t="array" ref="H160">MAX(IF($A160=pokemon!$AC$2:$AC$338, pokemon!$T$2:$T$338))</f>
        <v>20</v>
      </c>
      <c r="I160" s="27">
        <f t="shared" si="5"/>
        <v>0</v>
      </c>
    </row>
    <row r="161" spans="1:9" x14ac:dyDescent="0.25">
      <c r="A161" s="27" t="s">
        <v>894</v>
      </c>
      <c r="B161" s="39" t="s">
        <v>26</v>
      </c>
      <c r="C161" s="25">
        <v>75</v>
      </c>
      <c r="D161" s="25">
        <f t="shared" si="6"/>
        <v>4</v>
      </c>
      <c r="E161" s="26" t="s">
        <v>893</v>
      </c>
      <c r="F161" s="26">
        <f>COUNTIF(pokemon!$AC$2:$AC$338, A161)</f>
        <v>1</v>
      </c>
      <c r="G161" s="27" cm="1">
        <f t="array" ref="G161">MIN(IF($A161=pokemon!$AC$2:$AC$338, pokemon!$T$2:$T$338))</f>
        <v>16</v>
      </c>
      <c r="H161" s="27" cm="1">
        <f t="array" ref="H161">MAX(IF($A161=pokemon!$AC$2:$AC$338, pokemon!$T$2:$T$338))</f>
        <v>16</v>
      </c>
      <c r="I161" s="27">
        <f t="shared" si="5"/>
        <v>0</v>
      </c>
    </row>
    <row r="162" spans="1:9" x14ac:dyDescent="0.25">
      <c r="A162" s="26" t="s">
        <v>550</v>
      </c>
      <c r="B162" s="27" t="s">
        <v>553</v>
      </c>
      <c r="C162" s="25">
        <v>100</v>
      </c>
      <c r="D162" s="29">
        <f t="shared" si="6"/>
        <v>5</v>
      </c>
      <c r="E162" s="26" t="s">
        <v>657</v>
      </c>
      <c r="F162" s="26">
        <f>COUNTIF(pokemon!$AC$2:$AC$338, A162)</f>
        <v>0</v>
      </c>
      <c r="G162" s="26" cm="1">
        <f t="array" ref="G162">MIN(IF($A162=pokemon!$AC$2:$AC$338, pokemon!$T$2:$T$338))</f>
        <v>0</v>
      </c>
      <c r="H162" s="26" cm="1">
        <f t="array" ref="H162">MAX(IF($A162=pokemon!$AC$2:$AC$338, pokemon!$T$2:$T$338))</f>
        <v>0</v>
      </c>
      <c r="I162" s="26">
        <f t="shared" si="5"/>
        <v>0</v>
      </c>
    </row>
    <row r="163" spans="1:9" s="8" customFormat="1" x14ac:dyDescent="0.25">
      <c r="A163" s="59" t="s">
        <v>500</v>
      </c>
      <c r="B163" s="40" t="s">
        <v>7</v>
      </c>
      <c r="C163" s="25">
        <v>100</v>
      </c>
      <c r="D163" s="29">
        <f t="shared" si="6"/>
        <v>5</v>
      </c>
      <c r="E163" s="59" t="s">
        <v>659</v>
      </c>
      <c r="F163" s="59">
        <f>COUNTIF(pokemon!$AC$2:$AC$338, A163)</f>
        <v>4</v>
      </c>
      <c r="G163" s="59" cm="1">
        <f t="array" ref="G163">MIN(IF($A163=pokemon!$AC$2:$AC$338, pokemon!$T$2:$T$338))</f>
        <v>16</v>
      </c>
      <c r="H163" s="59" cm="1">
        <f t="array" ref="H163">MAX(IF($A163=pokemon!$AC$2:$AC$338, pokemon!$T$2:$T$338))</f>
        <v>21</v>
      </c>
      <c r="I163" s="59">
        <f t="shared" si="5"/>
        <v>5</v>
      </c>
    </row>
    <row r="164" spans="1:9" s="8" customFormat="1" x14ac:dyDescent="0.25">
      <c r="A164" s="59" t="s">
        <v>501</v>
      </c>
      <c r="B164" s="41" t="s">
        <v>33</v>
      </c>
      <c r="C164" s="25">
        <v>100</v>
      </c>
      <c r="D164" s="29">
        <f t="shared" si="6"/>
        <v>5</v>
      </c>
      <c r="E164" s="59" t="s">
        <v>659</v>
      </c>
      <c r="F164" s="59">
        <f>COUNTIF(pokemon!$AC$2:$AC$338, A164)</f>
        <v>2</v>
      </c>
      <c r="G164" s="59" cm="1">
        <f t="array" ref="G164">MIN(IF($A164=pokemon!$AC$2:$AC$338, pokemon!$T$2:$T$338))</f>
        <v>15</v>
      </c>
      <c r="H164" s="59" cm="1">
        <f t="array" ref="H164">MAX(IF($A164=pokemon!$AC$2:$AC$338, pokemon!$T$2:$T$338))</f>
        <v>21</v>
      </c>
      <c r="I164" s="59">
        <f t="shared" si="5"/>
        <v>6</v>
      </c>
    </row>
    <row r="165" spans="1:9" s="8" customFormat="1" x14ac:dyDescent="0.25">
      <c r="A165" s="59" t="s">
        <v>480</v>
      </c>
      <c r="B165" s="43" t="s">
        <v>67</v>
      </c>
      <c r="C165" s="25">
        <v>95</v>
      </c>
      <c r="D165" s="29">
        <f t="shared" si="6"/>
        <v>5</v>
      </c>
      <c r="E165" s="59" t="s">
        <v>585</v>
      </c>
      <c r="F165" s="59">
        <f>COUNTIF(pokemon!$AC$2:$AC$338, A165)</f>
        <v>2</v>
      </c>
      <c r="G165" s="59" cm="1">
        <f t="array" ref="G165">MIN(IF($A165=pokemon!$AC$2:$AC$338, pokemon!$T$2:$T$338))</f>
        <v>23</v>
      </c>
      <c r="H165" s="59" cm="1">
        <f t="array" ref="H165">MAX(IF($A165=pokemon!$AC$2:$AC$338, pokemon!$T$2:$T$338))</f>
        <v>24</v>
      </c>
      <c r="I165" s="59">
        <f t="shared" si="5"/>
        <v>1</v>
      </c>
    </row>
    <row r="166" spans="1:9" x14ac:dyDescent="0.25">
      <c r="A166" s="27" t="s">
        <v>1277</v>
      </c>
      <c r="B166" s="45" t="s">
        <v>39</v>
      </c>
      <c r="C166" s="25">
        <v>100</v>
      </c>
      <c r="D166" s="25">
        <f t="shared" si="6"/>
        <v>5</v>
      </c>
      <c r="E166" s="27" t="s">
        <v>1334</v>
      </c>
      <c r="F166" s="26">
        <f>COUNTIF(pokemon!$AC$2:$AC$338, A166)</f>
        <v>1</v>
      </c>
      <c r="G166" s="27" cm="1">
        <f t="array" ref="G166">MIN(IF($A166=pokemon!$AC$2:$AC$338, pokemon!$T$2:$T$338))</f>
        <v>17</v>
      </c>
      <c r="H166" s="27" cm="1">
        <f t="array" ref="H166">MAX(IF($A166=pokemon!$AC$2:$AC$338, pokemon!$T$2:$T$338))</f>
        <v>17</v>
      </c>
      <c r="I166" s="27">
        <f t="shared" si="5"/>
        <v>0</v>
      </c>
    </row>
    <row r="167" spans="1:9" s="8" customFormat="1" x14ac:dyDescent="0.25">
      <c r="A167" s="26" t="s">
        <v>695</v>
      </c>
      <c r="B167" s="38" t="s">
        <v>5</v>
      </c>
      <c r="C167" s="25">
        <v>100</v>
      </c>
      <c r="D167" s="29">
        <f t="shared" si="6"/>
        <v>5</v>
      </c>
      <c r="E167" s="26" t="s">
        <v>976</v>
      </c>
      <c r="F167" s="26">
        <f>COUNTIF(pokemon!$AC$2:$AC$338, A167)</f>
        <v>1</v>
      </c>
      <c r="G167" s="26" cm="1">
        <f t="array" ref="G167">MIN(IF($A167=pokemon!$AC$2:$AC$338, pokemon!$T$2:$T$338))</f>
        <v>19</v>
      </c>
      <c r="H167" s="26" cm="1">
        <f t="array" ref="H167">MAX(IF($A167=pokemon!$AC$2:$AC$338, pokemon!$T$2:$T$338))</f>
        <v>19</v>
      </c>
      <c r="I167" s="26">
        <f t="shared" si="5"/>
        <v>0</v>
      </c>
    </row>
    <row r="168" spans="1:9" s="8" customFormat="1" x14ac:dyDescent="0.25">
      <c r="A168" s="26" t="s">
        <v>593</v>
      </c>
      <c r="B168" s="30" t="s">
        <v>8</v>
      </c>
      <c r="C168" s="25">
        <v>100</v>
      </c>
      <c r="D168" s="29">
        <f t="shared" si="6"/>
        <v>5</v>
      </c>
      <c r="E168" s="26" t="s">
        <v>976</v>
      </c>
      <c r="F168" s="26">
        <f>COUNTIF(pokemon!$AC$2:$AC$338, A168)</f>
        <v>2</v>
      </c>
      <c r="G168" s="26" cm="1">
        <f t="array" ref="G168">MIN(IF($A168=pokemon!$AC$2:$AC$338, pokemon!$T$2:$T$338))</f>
        <v>17</v>
      </c>
      <c r="H168" s="26" cm="1">
        <f t="array" ref="H168">MAX(IF($A168=pokemon!$AC$2:$AC$338, pokemon!$T$2:$T$338))</f>
        <v>19</v>
      </c>
      <c r="I168" s="26">
        <f t="shared" si="5"/>
        <v>2</v>
      </c>
    </row>
    <row r="169" spans="1:9" s="8" customFormat="1" x14ac:dyDescent="0.25">
      <c r="A169" s="26" t="s">
        <v>710</v>
      </c>
      <c r="B169" s="31" t="s">
        <v>4</v>
      </c>
      <c r="C169" s="25">
        <v>100</v>
      </c>
      <c r="D169" s="29">
        <f t="shared" si="6"/>
        <v>5</v>
      </c>
      <c r="E169" s="26" t="s">
        <v>976</v>
      </c>
      <c r="F169" s="26">
        <f>COUNTIF(pokemon!$AC$2:$AC$338, A169)</f>
        <v>1</v>
      </c>
      <c r="G169" s="26" cm="1">
        <f t="array" ref="G169">MIN(IF($A169=pokemon!$AC$2:$AC$338, pokemon!$T$2:$T$338))</f>
        <v>17</v>
      </c>
      <c r="H169" s="26" cm="1">
        <f t="array" ref="H169">MAX(IF($A169=pokemon!$AC$2:$AC$338, pokemon!$T$2:$T$338))</f>
        <v>17</v>
      </c>
      <c r="I169" s="26">
        <f t="shared" si="5"/>
        <v>0</v>
      </c>
    </row>
    <row r="170" spans="1:9" s="8" customFormat="1" x14ac:dyDescent="0.25">
      <c r="A170" s="26" t="s">
        <v>533</v>
      </c>
      <c r="B170" s="34" t="s">
        <v>2</v>
      </c>
      <c r="C170" s="25">
        <v>100</v>
      </c>
      <c r="D170" s="29">
        <f t="shared" si="6"/>
        <v>5</v>
      </c>
      <c r="E170" s="26" t="s">
        <v>976</v>
      </c>
      <c r="F170" s="26">
        <f>COUNTIF(pokemon!$AC$2:$AC$338, A170)</f>
        <v>1</v>
      </c>
      <c r="G170" s="26" cm="1">
        <f t="array" ref="G170">MIN(IF($A170=pokemon!$AC$2:$AC$338, pokemon!$T$2:$T$338))</f>
        <v>16</v>
      </c>
      <c r="H170" s="26" cm="1">
        <f t="array" ref="H170">MAX(IF($A170=pokemon!$AC$2:$AC$338, pokemon!$T$2:$T$338))</f>
        <v>16</v>
      </c>
      <c r="I170" s="26">
        <f t="shared" si="5"/>
        <v>0</v>
      </c>
    </row>
    <row r="171" spans="1:9" s="8" customFormat="1" x14ac:dyDescent="0.25">
      <c r="A171" s="26" t="s">
        <v>573</v>
      </c>
      <c r="B171" s="28" t="s">
        <v>22</v>
      </c>
      <c r="C171" s="25">
        <v>100</v>
      </c>
      <c r="D171" s="29">
        <f t="shared" si="6"/>
        <v>5</v>
      </c>
      <c r="E171" s="26" t="s">
        <v>828</v>
      </c>
      <c r="F171" s="26">
        <f>COUNTIF(pokemon!$AC$2:$AC$338, A171)</f>
        <v>2</v>
      </c>
      <c r="G171" s="26" cm="1">
        <f t="array" ref="G171">MIN(IF($A171=pokemon!$AC$2:$AC$338, pokemon!$T$2:$T$338))</f>
        <v>16</v>
      </c>
      <c r="H171" s="26" cm="1">
        <f t="array" ref="H171">MAX(IF($A171=pokemon!$AC$2:$AC$338, pokemon!$T$2:$T$338))</f>
        <v>17</v>
      </c>
      <c r="I171" s="26">
        <f t="shared" si="5"/>
        <v>1</v>
      </c>
    </row>
    <row r="172" spans="1:9" s="8" customFormat="1" x14ac:dyDescent="0.25">
      <c r="A172" s="59" t="s">
        <v>495</v>
      </c>
      <c r="B172" s="28" t="s">
        <v>22</v>
      </c>
      <c r="C172" s="25">
        <v>100</v>
      </c>
      <c r="D172" s="29">
        <f t="shared" si="6"/>
        <v>5</v>
      </c>
      <c r="E172" s="59" t="s">
        <v>969</v>
      </c>
      <c r="F172" s="26">
        <f>COUNTIF(pokemon!$AC$2:$AC$338, A172)</f>
        <v>3</v>
      </c>
      <c r="G172" s="59" cm="1">
        <f t="array" ref="G172">MIN(IF($A172=pokemon!$AC$2:$AC$338, pokemon!$T$2:$T$338))</f>
        <v>18</v>
      </c>
      <c r="H172" s="59" cm="1">
        <f t="array" ref="H172">MAX(IF($A172=pokemon!$AC$2:$AC$338, pokemon!$T$2:$T$338))</f>
        <v>21</v>
      </c>
      <c r="I172" s="59">
        <f t="shared" si="5"/>
        <v>3</v>
      </c>
    </row>
    <row r="173" spans="1:9" x14ac:dyDescent="0.25">
      <c r="A173" s="26" t="s">
        <v>765</v>
      </c>
      <c r="B173" s="37" t="s">
        <v>13</v>
      </c>
      <c r="C173" s="25">
        <v>100</v>
      </c>
      <c r="D173" s="29">
        <f t="shared" si="6"/>
        <v>5</v>
      </c>
      <c r="E173" s="26" t="s">
        <v>969</v>
      </c>
      <c r="F173" s="26">
        <f>COUNTIF(pokemon!$AC$2:$AC$338, A173)</f>
        <v>2</v>
      </c>
      <c r="G173" s="26" cm="1">
        <f t="array" ref="G173">MIN(IF($A173=pokemon!$AC$2:$AC$338, pokemon!$T$2:$T$338))</f>
        <v>18</v>
      </c>
      <c r="H173" s="26" cm="1">
        <f t="array" ref="H173">MAX(IF($A173=pokemon!$AC$2:$AC$338, pokemon!$T$2:$T$338))</f>
        <v>21</v>
      </c>
      <c r="I173" s="26">
        <f t="shared" si="5"/>
        <v>3</v>
      </c>
    </row>
    <row r="174" spans="1:9" x14ac:dyDescent="0.25">
      <c r="A174" s="26" t="s">
        <v>613</v>
      </c>
      <c r="B174" s="34" t="s">
        <v>2</v>
      </c>
      <c r="C174" s="25">
        <v>100</v>
      </c>
      <c r="D174" s="29">
        <f t="shared" si="6"/>
        <v>5</v>
      </c>
      <c r="E174" s="26" t="s">
        <v>969</v>
      </c>
      <c r="F174" s="26">
        <f>COUNTIF(pokemon!$AC$2:$AC$338, A174)</f>
        <v>2</v>
      </c>
      <c r="G174" s="26" cm="1">
        <f t="array" ref="G174">MIN(IF($A174=pokemon!$AC$2:$AC$338, pokemon!$T$2:$T$338))</f>
        <v>17</v>
      </c>
      <c r="H174" s="26" cm="1">
        <f t="array" ref="H174">MAX(IF($A174=pokemon!$AC$2:$AC$338, pokemon!$T$2:$T$338))</f>
        <v>20</v>
      </c>
      <c r="I174" s="26">
        <f t="shared" si="5"/>
        <v>3</v>
      </c>
    </row>
    <row r="175" spans="1:9" s="8" customFormat="1" x14ac:dyDescent="0.25">
      <c r="A175" s="27" t="s">
        <v>1254</v>
      </c>
      <c r="B175" s="31" t="s">
        <v>4</v>
      </c>
      <c r="C175" s="25">
        <v>110</v>
      </c>
      <c r="D175" s="25">
        <f t="shared" si="6"/>
        <v>5</v>
      </c>
      <c r="E175" s="26" t="s">
        <v>969</v>
      </c>
      <c r="F175" s="26">
        <f>COUNTIF(pokemon!$AC$2:$AC$338, A175)</f>
        <v>1</v>
      </c>
      <c r="G175" s="27" cm="1">
        <f t="array" ref="G175">MIN(IF($A175=pokemon!$AC$2:$AC$338, pokemon!$T$2:$T$338))</f>
        <v>20</v>
      </c>
      <c r="H175" s="27" cm="1">
        <f t="array" ref="H175">MAX(IF($A175=pokemon!$AC$2:$AC$338, pokemon!$T$2:$T$338))</f>
        <v>20</v>
      </c>
      <c r="I175" s="27">
        <f t="shared" si="5"/>
        <v>0</v>
      </c>
    </row>
    <row r="176" spans="1:9" x14ac:dyDescent="0.25">
      <c r="A176" s="26" t="s">
        <v>475</v>
      </c>
      <c r="B176" s="31" t="s">
        <v>4</v>
      </c>
      <c r="C176" s="25">
        <v>100</v>
      </c>
      <c r="D176" s="29">
        <f t="shared" si="6"/>
        <v>5</v>
      </c>
      <c r="E176" s="26" t="s">
        <v>690</v>
      </c>
      <c r="F176" s="26">
        <f>COUNTIF(pokemon!$AC$2:$AC$338, A176)</f>
        <v>1</v>
      </c>
      <c r="G176" s="26" cm="1">
        <f t="array" ref="G176">MIN(IF($A176=pokemon!$AC$2:$AC$338, pokemon!$T$2:$T$338))</f>
        <v>19</v>
      </c>
      <c r="H176" s="26" cm="1">
        <f t="array" ref="H176">MAX(IF($A176=pokemon!$AC$2:$AC$338, pokemon!$T$2:$T$338))</f>
        <v>19</v>
      </c>
      <c r="I176" s="26">
        <f t="shared" si="5"/>
        <v>0</v>
      </c>
    </row>
    <row r="177" spans="1:9" x14ac:dyDescent="0.25">
      <c r="A177" s="26" t="s">
        <v>474</v>
      </c>
      <c r="B177" s="35" t="s">
        <v>14</v>
      </c>
      <c r="C177" s="25">
        <v>100</v>
      </c>
      <c r="D177" s="29">
        <f t="shared" si="6"/>
        <v>5</v>
      </c>
      <c r="E177" s="26" t="s">
        <v>688</v>
      </c>
      <c r="F177" s="26">
        <f>COUNTIF(pokemon!$AC$2:$AC$338, A177)</f>
        <v>1</v>
      </c>
      <c r="G177" s="26" cm="1">
        <f t="array" ref="G177">MIN(IF($A177=pokemon!$AC$2:$AC$338, pokemon!$T$2:$T$338))</f>
        <v>19</v>
      </c>
      <c r="H177" s="26" cm="1">
        <f t="array" ref="H177">MAX(IF($A177=pokemon!$AC$2:$AC$338, pokemon!$T$2:$T$338))</f>
        <v>19</v>
      </c>
      <c r="I177" s="26">
        <f t="shared" si="5"/>
        <v>0</v>
      </c>
    </row>
    <row r="178" spans="1:9" x14ac:dyDescent="0.25">
      <c r="A178" s="26" t="s">
        <v>578</v>
      </c>
      <c r="B178" s="33" t="s">
        <v>11</v>
      </c>
      <c r="C178" s="25">
        <v>100</v>
      </c>
      <c r="D178" s="29">
        <f t="shared" si="6"/>
        <v>5</v>
      </c>
      <c r="E178" s="26" t="s">
        <v>689</v>
      </c>
      <c r="F178" s="26">
        <f>COUNTIF(pokemon!$AC$2:$AC$338, A178)</f>
        <v>1</v>
      </c>
      <c r="G178" s="26" cm="1">
        <f t="array" ref="G178">MIN(IF($A178=pokemon!$AC$2:$AC$338, pokemon!$T$2:$T$338))</f>
        <v>19</v>
      </c>
      <c r="H178" s="26" cm="1">
        <f t="array" ref="H178">MAX(IF($A178=pokemon!$AC$2:$AC$338, pokemon!$T$2:$T$338))</f>
        <v>19</v>
      </c>
      <c r="I178" s="26">
        <f t="shared" si="5"/>
        <v>0</v>
      </c>
    </row>
    <row r="179" spans="1:9" x14ac:dyDescent="0.25">
      <c r="A179" s="26" t="s">
        <v>487</v>
      </c>
      <c r="B179" s="37" t="s">
        <v>13</v>
      </c>
      <c r="C179" s="25">
        <v>100</v>
      </c>
      <c r="D179" s="29">
        <f t="shared" si="6"/>
        <v>5</v>
      </c>
      <c r="E179" s="26" t="s">
        <v>833</v>
      </c>
      <c r="F179" s="26">
        <f>COUNTIF(pokemon!$AC$2:$AC$338, A179)</f>
        <v>6</v>
      </c>
      <c r="G179" s="26" cm="1">
        <f t="array" ref="G179">MIN(IF($A179=pokemon!$AC$2:$AC$338, pokemon!$T$2:$T$338))</f>
        <v>16</v>
      </c>
      <c r="H179" s="26" cm="1">
        <f t="array" ref="H179">MAX(IF($A179=pokemon!$AC$2:$AC$338, pokemon!$T$2:$T$338))</f>
        <v>22</v>
      </c>
      <c r="I179" s="26">
        <f t="shared" si="5"/>
        <v>6</v>
      </c>
    </row>
    <row r="180" spans="1:9" s="8" customFormat="1" x14ac:dyDescent="0.25">
      <c r="A180" s="26" t="s">
        <v>481</v>
      </c>
      <c r="B180" s="31" t="s">
        <v>4</v>
      </c>
      <c r="C180" s="25">
        <v>100</v>
      </c>
      <c r="D180" s="29">
        <f t="shared" si="6"/>
        <v>5</v>
      </c>
      <c r="E180" s="26" t="s">
        <v>569</v>
      </c>
      <c r="F180" s="26">
        <f>COUNTIF(pokemon!$AC$2:$AC$338, A180)</f>
        <v>3</v>
      </c>
      <c r="G180" s="26" cm="1">
        <f t="array" ref="G180">MIN(IF($A180=pokemon!$AC$2:$AC$338, pokemon!$T$2:$T$338))</f>
        <v>17</v>
      </c>
      <c r="H180" s="26" cm="1">
        <f t="array" ref="H180">MAX(IF($A180=pokemon!$AC$2:$AC$338, pokemon!$T$2:$T$338))</f>
        <v>20</v>
      </c>
      <c r="I180" s="26">
        <f t="shared" si="5"/>
        <v>3</v>
      </c>
    </row>
    <row r="181" spans="1:9" x14ac:dyDescent="0.25">
      <c r="A181" s="26" t="s">
        <v>482</v>
      </c>
      <c r="B181" s="32" t="s">
        <v>6</v>
      </c>
      <c r="C181" s="25">
        <v>100</v>
      </c>
      <c r="D181" s="29">
        <f t="shared" si="6"/>
        <v>5</v>
      </c>
      <c r="E181" s="26" t="s">
        <v>832</v>
      </c>
      <c r="F181" s="26">
        <f>COUNTIF(pokemon!$AC$2:$AC$338, A181)</f>
        <v>4</v>
      </c>
      <c r="G181" s="26" cm="1">
        <f t="array" ref="G181">MIN(IF($A181=pokemon!$AC$2:$AC$338, pokemon!$T$2:$T$338))</f>
        <v>17</v>
      </c>
      <c r="H181" s="26" cm="1">
        <f t="array" ref="H181">MAX(IF($A181=pokemon!$AC$2:$AC$338, pokemon!$T$2:$T$338))</f>
        <v>20</v>
      </c>
      <c r="I181" s="26">
        <f t="shared" si="5"/>
        <v>3</v>
      </c>
    </row>
    <row r="182" spans="1:9" x14ac:dyDescent="0.25">
      <c r="A182" s="26" t="s">
        <v>538</v>
      </c>
      <c r="B182" s="46" t="s">
        <v>16</v>
      </c>
      <c r="C182" s="25">
        <v>100</v>
      </c>
      <c r="D182" s="29">
        <f t="shared" si="6"/>
        <v>5</v>
      </c>
      <c r="E182" s="26" t="s">
        <v>1141</v>
      </c>
      <c r="F182" s="26">
        <f>COUNTIF(pokemon!$AC$2:$AC$338, A182)</f>
        <v>3</v>
      </c>
      <c r="G182" s="26" cm="1">
        <f t="array" ref="G182">MIN(IF($A182=pokemon!$AC$2:$AC$338, pokemon!$T$2:$T$338))</f>
        <v>17</v>
      </c>
      <c r="H182" s="26" cm="1">
        <f t="array" ref="H182">MAX(IF($A182=pokemon!$AC$2:$AC$338, pokemon!$T$2:$T$338))</f>
        <v>18</v>
      </c>
      <c r="I182" s="26">
        <f t="shared" si="5"/>
        <v>1</v>
      </c>
    </row>
    <row r="183" spans="1:9" s="8" customFormat="1" x14ac:dyDescent="0.25">
      <c r="A183" s="26" t="s">
        <v>491</v>
      </c>
      <c r="B183" s="35" t="s">
        <v>14</v>
      </c>
      <c r="C183" s="25">
        <v>100</v>
      </c>
      <c r="D183" s="29">
        <f t="shared" si="6"/>
        <v>5</v>
      </c>
      <c r="E183" s="26" t="s">
        <v>570</v>
      </c>
      <c r="F183" s="26">
        <f>COUNTIF(pokemon!$AC$2:$AC$338, A183)</f>
        <v>3</v>
      </c>
      <c r="G183" s="26" cm="1">
        <f t="array" ref="G183">MIN(IF($A183=pokemon!$AC$2:$AC$338, pokemon!$T$2:$T$338))</f>
        <v>18</v>
      </c>
      <c r="H183" s="26" cm="1">
        <f t="array" ref="H183">MAX(IF($A183=pokemon!$AC$2:$AC$338, pokemon!$T$2:$T$338))</f>
        <v>20</v>
      </c>
      <c r="I183" s="26">
        <f t="shared" si="5"/>
        <v>2</v>
      </c>
    </row>
    <row r="184" spans="1:9" s="8" customFormat="1" x14ac:dyDescent="0.25">
      <c r="A184" s="26" t="s">
        <v>598</v>
      </c>
      <c r="B184" s="43" t="s">
        <v>67</v>
      </c>
      <c r="C184" s="25">
        <v>100</v>
      </c>
      <c r="D184" s="29">
        <f t="shared" si="6"/>
        <v>5</v>
      </c>
      <c r="E184" s="26" t="s">
        <v>568</v>
      </c>
      <c r="F184" s="26">
        <f>COUNTIF(pokemon!$AC$2:$AC$338, A184)</f>
        <v>2</v>
      </c>
      <c r="G184" s="26" cm="1">
        <f t="array" ref="G184">MIN(IF($A184=pokemon!$AC$2:$AC$338, pokemon!$T$2:$T$338))</f>
        <v>21</v>
      </c>
      <c r="H184" s="26" cm="1">
        <f t="array" ref="H184">MAX(IF($A184=pokemon!$AC$2:$AC$338, pokemon!$T$2:$T$338))</f>
        <v>21</v>
      </c>
      <c r="I184" s="26">
        <f t="shared" si="5"/>
        <v>0</v>
      </c>
    </row>
    <row r="185" spans="1:9" x14ac:dyDescent="0.25">
      <c r="A185" s="26" t="s">
        <v>489</v>
      </c>
      <c r="B185" s="33" t="s">
        <v>11</v>
      </c>
      <c r="C185" s="25">
        <v>100</v>
      </c>
      <c r="D185" s="29">
        <f t="shared" si="6"/>
        <v>5</v>
      </c>
      <c r="E185" s="26" t="s">
        <v>568</v>
      </c>
      <c r="F185" s="26">
        <f>COUNTIF(pokemon!$AC$2:$AC$338, A185)</f>
        <v>4</v>
      </c>
      <c r="G185" s="26" cm="1">
        <f t="array" ref="G185">MIN(IF($A185=pokemon!$AC$2:$AC$338, pokemon!$T$2:$T$338))</f>
        <v>18</v>
      </c>
      <c r="H185" s="26" cm="1">
        <f t="array" ref="H185">MAX(IF($A185=pokemon!$AC$2:$AC$338, pokemon!$T$2:$T$338))</f>
        <v>21</v>
      </c>
      <c r="I185" s="26">
        <f t="shared" si="5"/>
        <v>3</v>
      </c>
    </row>
    <row r="186" spans="1:9" s="8" customFormat="1" x14ac:dyDescent="0.25">
      <c r="A186" s="26" t="s">
        <v>636</v>
      </c>
      <c r="B186" s="36" t="s">
        <v>3</v>
      </c>
      <c r="C186" s="25">
        <v>100</v>
      </c>
      <c r="D186" s="29">
        <f t="shared" si="6"/>
        <v>5</v>
      </c>
      <c r="E186" s="26" t="s">
        <v>571</v>
      </c>
      <c r="F186" s="26">
        <f>COUNTIF(pokemon!$AC$2:$AC$338, A186)</f>
        <v>2</v>
      </c>
      <c r="G186" s="26" cm="1">
        <f t="array" ref="G186">MIN(IF($A186=pokemon!$AC$2:$AC$338, pokemon!$T$2:$T$338))</f>
        <v>18</v>
      </c>
      <c r="H186" s="26" cm="1">
        <f t="array" ref="H186">MAX(IF($A186=pokemon!$AC$2:$AC$338, pokemon!$T$2:$T$338))</f>
        <v>18</v>
      </c>
      <c r="I186" s="26">
        <f t="shared" si="5"/>
        <v>0</v>
      </c>
    </row>
    <row r="187" spans="1:9" x14ac:dyDescent="0.25">
      <c r="A187" s="26" t="s">
        <v>505</v>
      </c>
      <c r="B187" s="43" t="s">
        <v>67</v>
      </c>
      <c r="C187" s="25">
        <v>95</v>
      </c>
      <c r="D187" s="29">
        <f t="shared" si="6"/>
        <v>5</v>
      </c>
      <c r="E187" s="26" t="s">
        <v>951</v>
      </c>
      <c r="F187" s="26">
        <f>COUNTIF(pokemon!$AC$2:$AC$338, A187)</f>
        <v>2</v>
      </c>
      <c r="G187" s="26" cm="1">
        <f t="array" ref="G187">MIN(IF($A187=pokemon!$AC$2:$AC$338, pokemon!$T$2:$T$338))</f>
        <v>19</v>
      </c>
      <c r="H187" s="26" cm="1">
        <f t="array" ref="H187">MAX(IF($A187=pokemon!$AC$2:$AC$338, pokemon!$T$2:$T$338))</f>
        <v>21</v>
      </c>
      <c r="I187" s="26">
        <f t="shared" si="5"/>
        <v>2</v>
      </c>
    </row>
    <row r="188" spans="1:9" s="8" customFormat="1" x14ac:dyDescent="0.25">
      <c r="A188" s="26" t="s">
        <v>824</v>
      </c>
      <c r="B188" s="31" t="s">
        <v>4</v>
      </c>
      <c r="C188" s="25">
        <v>95</v>
      </c>
      <c r="D188" s="29">
        <f t="shared" si="6"/>
        <v>5</v>
      </c>
      <c r="E188" s="26" t="s">
        <v>951</v>
      </c>
      <c r="F188" s="26">
        <f>COUNTIF(pokemon!$AC$2:$AC$338, A188)</f>
        <v>2</v>
      </c>
      <c r="G188" s="26" cm="1">
        <f t="array" ref="G188">MIN(IF($A188=pokemon!$AC$2:$AC$338, pokemon!$T$2:$T$338))</f>
        <v>18</v>
      </c>
      <c r="H188" s="26" cm="1">
        <f t="array" ref="H188">MAX(IF($A188=pokemon!$AC$2:$AC$338, pokemon!$T$2:$T$338))</f>
        <v>21</v>
      </c>
      <c r="I188" s="26">
        <f t="shared" si="5"/>
        <v>3</v>
      </c>
    </row>
    <row r="189" spans="1:9" s="8" customFormat="1" x14ac:dyDescent="0.25">
      <c r="A189" s="59" t="s">
        <v>576</v>
      </c>
      <c r="B189" s="30" t="s">
        <v>8</v>
      </c>
      <c r="C189" s="25">
        <v>95</v>
      </c>
      <c r="D189" s="29">
        <f t="shared" si="6"/>
        <v>5</v>
      </c>
      <c r="E189" s="59" t="s">
        <v>951</v>
      </c>
      <c r="F189" s="59">
        <f>COUNTIF(pokemon!$AC$2:$AC$338, A189)</f>
        <v>1</v>
      </c>
      <c r="G189" s="59" cm="1">
        <f t="array" ref="G189">MIN(IF($A189=pokemon!$AC$2:$AC$338, pokemon!$T$2:$T$338))</f>
        <v>17</v>
      </c>
      <c r="H189" s="59" cm="1">
        <f t="array" ref="H189">MAX(IF($A189=pokemon!$AC$2:$AC$338, pokemon!$T$2:$T$338))</f>
        <v>17</v>
      </c>
      <c r="I189" s="59">
        <f t="shared" si="5"/>
        <v>0</v>
      </c>
    </row>
    <row r="190" spans="1:9" x14ac:dyDescent="0.25">
      <c r="A190" s="26" t="s">
        <v>774</v>
      </c>
      <c r="B190" s="31" t="s">
        <v>4</v>
      </c>
      <c r="C190" s="25">
        <v>110</v>
      </c>
      <c r="D190" s="29">
        <f t="shared" si="6"/>
        <v>5</v>
      </c>
      <c r="E190" s="26" t="s">
        <v>775</v>
      </c>
      <c r="F190" s="26">
        <f>COUNTIF(pokemon!$AC$2:$AC$338, A190)</f>
        <v>2</v>
      </c>
      <c r="G190" s="26" cm="1">
        <f t="array" ref="G190">MIN(IF($A190=pokemon!$AC$2:$AC$338, pokemon!$T$2:$T$338))</f>
        <v>19</v>
      </c>
      <c r="H190" s="26" cm="1">
        <f t="array" ref="H190">MAX(IF($A190=pokemon!$AC$2:$AC$338, pokemon!$T$2:$T$338))</f>
        <v>22</v>
      </c>
      <c r="I190" s="26">
        <f t="shared" si="5"/>
        <v>3</v>
      </c>
    </row>
    <row r="191" spans="1:9" s="8" customFormat="1" x14ac:dyDescent="0.25">
      <c r="A191" s="59" t="s">
        <v>579</v>
      </c>
      <c r="B191" s="35" t="s">
        <v>14</v>
      </c>
      <c r="C191" s="25">
        <v>110</v>
      </c>
      <c r="D191" s="29">
        <f t="shared" si="6"/>
        <v>5</v>
      </c>
      <c r="E191" s="26" t="s">
        <v>759</v>
      </c>
      <c r="F191" s="26">
        <f>COUNTIF(pokemon!$AC$2:$AC$338, A191)</f>
        <v>3</v>
      </c>
      <c r="G191" s="59" cm="1">
        <f t="array" ref="G191">MIN(IF($A191=pokemon!$AC$2:$AC$338, pokemon!$T$2:$T$338))</f>
        <v>18</v>
      </c>
      <c r="H191" s="59" cm="1">
        <f t="array" ref="H191">MAX(IF($A191=pokemon!$AC$2:$AC$338, pokemon!$T$2:$T$338))</f>
        <v>21</v>
      </c>
      <c r="I191" s="59">
        <f t="shared" si="5"/>
        <v>3</v>
      </c>
    </row>
    <row r="192" spans="1:9" x14ac:dyDescent="0.25">
      <c r="A192" s="27" t="s">
        <v>581</v>
      </c>
      <c r="B192" s="33" t="s">
        <v>11</v>
      </c>
      <c r="C192" s="25">
        <v>110</v>
      </c>
      <c r="D192" s="29">
        <f t="shared" si="6"/>
        <v>5</v>
      </c>
      <c r="E192" s="26" t="s">
        <v>758</v>
      </c>
      <c r="F192" s="26">
        <f>COUNTIF(pokemon!$AC$2:$AC$338, A192)</f>
        <v>1</v>
      </c>
      <c r="G192" s="27" cm="1">
        <f t="array" ref="G192">MIN(IF($A192=pokemon!$AC$2:$AC$338, pokemon!$T$2:$T$338))</f>
        <v>17</v>
      </c>
      <c r="H192" s="27" cm="1">
        <f t="array" ref="H192">MAX(IF($A192=pokemon!$AC$2:$AC$338, pokemon!$T$2:$T$338))</f>
        <v>17</v>
      </c>
      <c r="I192" s="27">
        <f t="shared" si="5"/>
        <v>0</v>
      </c>
    </row>
    <row r="193" spans="1:9" x14ac:dyDescent="0.25">
      <c r="A193" s="26" t="s">
        <v>503</v>
      </c>
      <c r="B193" s="41" t="s">
        <v>33</v>
      </c>
      <c r="C193" s="25">
        <v>100</v>
      </c>
      <c r="D193" s="29">
        <f t="shared" si="6"/>
        <v>5</v>
      </c>
      <c r="E193" s="26" t="s">
        <v>801</v>
      </c>
      <c r="F193" s="26">
        <f>COUNTIF(pokemon!$AC$2:$AC$338, A193)</f>
        <v>3</v>
      </c>
      <c r="G193" s="26" cm="1">
        <f t="array" ref="G193">MIN(IF($A193=pokemon!$AC$2:$AC$338, pokemon!$T$2:$T$338))</f>
        <v>12</v>
      </c>
      <c r="H193" s="26" cm="1">
        <f t="array" ref="H193">MAX(IF($A193=pokemon!$AC$2:$AC$338, pokemon!$T$2:$T$338))</f>
        <v>13</v>
      </c>
      <c r="I193" s="26">
        <f t="shared" si="5"/>
        <v>1</v>
      </c>
    </row>
    <row r="194" spans="1:9" s="8" customFormat="1" x14ac:dyDescent="0.25">
      <c r="A194" s="26" t="s">
        <v>1311</v>
      </c>
      <c r="B194" s="39" t="s">
        <v>26</v>
      </c>
      <c r="C194" s="25">
        <v>100</v>
      </c>
      <c r="D194" s="29">
        <f t="shared" si="6"/>
        <v>5</v>
      </c>
      <c r="E194" s="59" t="s">
        <v>1313</v>
      </c>
      <c r="F194" s="26">
        <f>COUNTIF(pokemon!$AC$2:$AC$338, A194)</f>
        <v>1</v>
      </c>
      <c r="G194" s="26" cm="1">
        <f t="array" ref="G194">MIN(IF($A194=pokemon!$AC$2:$AC$338, pokemon!$T$2:$T$338))</f>
        <v>20</v>
      </c>
      <c r="H194" s="26" cm="1">
        <f t="array" ref="H194">MAX(IF($A194=pokemon!$AC$2:$AC$338, pokemon!$T$2:$T$338))</f>
        <v>20</v>
      </c>
      <c r="I194" s="26">
        <f t="shared" si="5"/>
        <v>0</v>
      </c>
    </row>
    <row r="195" spans="1:9" x14ac:dyDescent="0.25">
      <c r="A195" s="26" t="s">
        <v>722</v>
      </c>
      <c r="B195" s="44" t="s">
        <v>9</v>
      </c>
      <c r="C195" s="25">
        <v>100</v>
      </c>
      <c r="D195" s="29">
        <f t="shared" si="6"/>
        <v>5</v>
      </c>
      <c r="E195" s="26" t="s">
        <v>606</v>
      </c>
      <c r="F195" s="26">
        <f>COUNTIF(pokemon!$AC$2:$AC$338, A195)</f>
        <v>1</v>
      </c>
      <c r="G195" s="26" cm="1">
        <f t="array" ref="G195">MIN(IF($A195=pokemon!$AC$2:$AC$338, pokemon!$T$2:$T$338))</f>
        <v>28</v>
      </c>
      <c r="H195" s="26" cm="1">
        <f t="array" ref="H195">MAX(IF($A195=pokemon!$AC$2:$AC$338, pokemon!$T$2:$T$338))</f>
        <v>28</v>
      </c>
      <c r="I195" s="26">
        <f t="shared" ref="I195:I218" si="7">H195-G195</f>
        <v>0</v>
      </c>
    </row>
    <row r="196" spans="1:9" s="8" customFormat="1" x14ac:dyDescent="0.25">
      <c r="A196" s="26" t="s">
        <v>541</v>
      </c>
      <c r="B196" s="34" t="s">
        <v>2</v>
      </c>
      <c r="C196" s="25">
        <v>100</v>
      </c>
      <c r="D196" s="29">
        <f t="shared" si="6"/>
        <v>5</v>
      </c>
      <c r="E196" s="59" t="s">
        <v>606</v>
      </c>
      <c r="F196" s="26">
        <f>COUNTIF(pokemon!$AC$2:$AC$338, A196)</f>
        <v>1</v>
      </c>
      <c r="G196" s="26" cm="1">
        <f t="array" ref="G196">MIN(IF($A196=pokemon!$AC$2:$AC$338, pokemon!$T$2:$T$338))</f>
        <v>20</v>
      </c>
      <c r="H196" s="26" cm="1">
        <f t="array" ref="H196">MAX(IF($A196=pokemon!$AC$2:$AC$338, pokemon!$T$2:$T$338))</f>
        <v>20</v>
      </c>
      <c r="I196" s="26">
        <f t="shared" si="7"/>
        <v>0</v>
      </c>
    </row>
    <row r="197" spans="1:9" s="8" customFormat="1" x14ac:dyDescent="0.25">
      <c r="A197" s="27" t="s">
        <v>939</v>
      </c>
      <c r="B197" s="36" t="s">
        <v>3</v>
      </c>
      <c r="C197" s="25">
        <v>115</v>
      </c>
      <c r="D197" s="25">
        <f t="shared" si="6"/>
        <v>6</v>
      </c>
      <c r="E197" s="27" t="s">
        <v>940</v>
      </c>
      <c r="F197" s="26">
        <f>COUNTIF(pokemon!$AC$2:$AC$338, A197)</f>
        <v>1</v>
      </c>
      <c r="G197" s="27" cm="1">
        <f t="array" ref="G197">MIN(IF($A197=pokemon!$AC$2:$AC$338, pokemon!$T$2:$T$338))</f>
        <v>17</v>
      </c>
      <c r="H197" s="27" cm="1">
        <f t="array" ref="H197">MAX(IF($A197=pokemon!$AC$2:$AC$338, pokemon!$T$2:$T$338))</f>
        <v>17</v>
      </c>
      <c r="I197" s="27">
        <f t="shared" si="7"/>
        <v>0</v>
      </c>
    </row>
    <row r="198" spans="1:9" s="8" customFormat="1" x14ac:dyDescent="0.25">
      <c r="A198" s="26" t="s">
        <v>520</v>
      </c>
      <c r="B198" s="30" t="s">
        <v>8</v>
      </c>
      <c r="C198" s="25">
        <v>120</v>
      </c>
      <c r="D198" s="29">
        <f t="shared" si="6"/>
        <v>6</v>
      </c>
      <c r="E198" s="26" t="s">
        <v>978</v>
      </c>
      <c r="F198" s="26">
        <f>COUNTIF(pokemon!$AC$2:$AC$338, A198)</f>
        <v>4</v>
      </c>
      <c r="G198" s="26" cm="1">
        <f t="array" ref="G198">MIN(IF($A198=pokemon!$AC$2:$AC$338, pokemon!$T$2:$T$338))</f>
        <v>17</v>
      </c>
      <c r="H198" s="26" cm="1">
        <f t="array" ref="H198">MAX(IF($A198=pokemon!$AC$2:$AC$338, pokemon!$T$2:$T$338))</f>
        <v>18</v>
      </c>
      <c r="I198" s="26">
        <f t="shared" si="7"/>
        <v>1</v>
      </c>
    </row>
    <row r="199" spans="1:9" x14ac:dyDescent="0.25">
      <c r="A199" s="26" t="s">
        <v>516</v>
      </c>
      <c r="B199" s="41" t="s">
        <v>33</v>
      </c>
      <c r="C199" s="25">
        <v>120</v>
      </c>
      <c r="D199" s="29">
        <f t="shared" si="6"/>
        <v>6</v>
      </c>
      <c r="E199" s="26" t="s">
        <v>978</v>
      </c>
      <c r="F199" s="26">
        <f>COUNTIF(pokemon!$AC$2:$AC$338, A199)</f>
        <v>1</v>
      </c>
      <c r="G199" s="26" cm="1">
        <f t="array" ref="G199">MIN(IF($A199=pokemon!$AC$2:$AC$338, pokemon!$T$2:$T$338))</f>
        <v>18</v>
      </c>
      <c r="H199" s="26" cm="1">
        <f t="array" ref="H199">MAX(IF($A199=pokemon!$AC$2:$AC$338, pokemon!$T$2:$T$338))</f>
        <v>18</v>
      </c>
      <c r="I199" s="26">
        <f t="shared" si="7"/>
        <v>0</v>
      </c>
    </row>
    <row r="200" spans="1:9" s="8" customFormat="1" x14ac:dyDescent="0.25">
      <c r="A200" s="26" t="s">
        <v>740</v>
      </c>
      <c r="B200" s="31" t="s">
        <v>4</v>
      </c>
      <c r="C200" s="25">
        <v>120</v>
      </c>
      <c r="D200" s="29">
        <f t="shared" ref="D200:D218" si="8">IF(NOT(ISBLANK(C200)), IF(ISNUMBER(C200), ROUND((C200 - 5)/20, 0), C200), "")</f>
        <v>6</v>
      </c>
      <c r="E200" s="26" t="s">
        <v>978</v>
      </c>
      <c r="F200" s="26">
        <f>COUNTIF(pokemon!$AC$2:$AC$338, A200)</f>
        <v>1</v>
      </c>
      <c r="G200" s="26" cm="1">
        <f t="array" ref="G200">MIN(IF($A200=pokemon!$AC$2:$AC$338, pokemon!$T$2:$T$338))</f>
        <v>28</v>
      </c>
      <c r="H200" s="26" cm="1">
        <f t="array" ref="H200">MAX(IF($A200=pokemon!$AC$2:$AC$338, pokemon!$T$2:$T$338))</f>
        <v>28</v>
      </c>
      <c r="I200" s="26">
        <f t="shared" si="7"/>
        <v>0</v>
      </c>
    </row>
    <row r="201" spans="1:9" s="8" customFormat="1" x14ac:dyDescent="0.25">
      <c r="A201" s="26" t="s">
        <v>874</v>
      </c>
      <c r="B201" s="27" t="s">
        <v>553</v>
      </c>
      <c r="C201" s="25">
        <v>120</v>
      </c>
      <c r="D201" s="29">
        <f t="shared" si="8"/>
        <v>6</v>
      </c>
      <c r="E201" s="26" t="s">
        <v>979</v>
      </c>
      <c r="F201" s="26">
        <f>COUNTIF(pokemon!$AC$2:$AC$338, A201)</f>
        <v>0</v>
      </c>
      <c r="G201" s="26" cm="1">
        <f t="array" ref="G201">MIN(IF($A201=pokemon!$AC$2:$AC$338, pokemon!$T$2:$T$338))</f>
        <v>0</v>
      </c>
      <c r="H201" s="26" cm="1">
        <f t="array" ref="H201">MAX(IF($A201=pokemon!$AC$2:$AC$338, pokemon!$T$2:$T$338))</f>
        <v>0</v>
      </c>
      <c r="I201" s="26">
        <f t="shared" si="7"/>
        <v>0</v>
      </c>
    </row>
    <row r="202" spans="1:9" s="8" customFormat="1" x14ac:dyDescent="0.25">
      <c r="A202" s="59" t="s">
        <v>502</v>
      </c>
      <c r="B202" s="41" t="s">
        <v>33</v>
      </c>
      <c r="C202" s="25">
        <v>120</v>
      </c>
      <c r="D202" s="29">
        <f t="shared" si="8"/>
        <v>6</v>
      </c>
      <c r="E202" s="26" t="s">
        <v>1242</v>
      </c>
      <c r="F202" s="26">
        <f>COUNTIF(pokemon!$AC$2:$AC$338, A202)</f>
        <v>1</v>
      </c>
      <c r="G202" s="59" cm="1">
        <f t="array" ref="G202">MIN(IF($A202=pokemon!$AC$2:$AC$338, pokemon!$T$2:$T$338))</f>
        <v>19</v>
      </c>
      <c r="H202" s="59" cm="1">
        <f t="array" ref="H202">MAX(IF($A202=pokemon!$AC$2:$AC$338, pokemon!$T$2:$T$338))</f>
        <v>19</v>
      </c>
      <c r="I202" s="59">
        <f t="shared" si="7"/>
        <v>0</v>
      </c>
    </row>
    <row r="203" spans="1:9" s="8" customFormat="1" x14ac:dyDescent="0.25">
      <c r="A203" s="27" t="s">
        <v>872</v>
      </c>
      <c r="B203" s="45" t="s">
        <v>39</v>
      </c>
      <c r="C203" s="25">
        <v>120</v>
      </c>
      <c r="D203" s="25">
        <f t="shared" si="8"/>
        <v>6</v>
      </c>
      <c r="E203" s="26" t="s">
        <v>876</v>
      </c>
      <c r="F203" s="26">
        <f>COUNTIF(pokemon!$AC$2:$AC$338, A203)</f>
        <v>0</v>
      </c>
      <c r="G203" s="27" cm="1">
        <f t="array" ref="G203">MIN(IF($A203=pokemon!$AC$2:$AC$338, pokemon!$T$2:$T$338))</f>
        <v>0</v>
      </c>
      <c r="H203" s="27" cm="1">
        <f t="array" ref="H203">MAX(IF($A203=pokemon!$AC$2:$AC$338, pokemon!$T$2:$T$338))</f>
        <v>0</v>
      </c>
      <c r="I203" s="27">
        <f t="shared" si="7"/>
        <v>0</v>
      </c>
    </row>
    <row r="204" spans="1:9" s="8" customFormat="1" x14ac:dyDescent="0.25">
      <c r="A204" s="27" t="s">
        <v>873</v>
      </c>
      <c r="B204" s="42" t="s">
        <v>42</v>
      </c>
      <c r="C204" s="25">
        <v>120</v>
      </c>
      <c r="D204" s="25">
        <f t="shared" si="8"/>
        <v>6</v>
      </c>
      <c r="E204" s="26" t="s">
        <v>875</v>
      </c>
      <c r="F204" s="26">
        <f>COUNTIF(pokemon!$AC$2:$AC$338, A204)</f>
        <v>0</v>
      </c>
      <c r="G204" s="27" cm="1">
        <f t="array" ref="G204">MIN(IF($A204=pokemon!$AC$2:$AC$338, pokemon!$T$2:$T$338))</f>
        <v>0</v>
      </c>
      <c r="H204" s="27" cm="1">
        <f t="array" ref="H204">MAX(IF($A204=pokemon!$AC$2:$AC$338, pokemon!$T$2:$T$338))</f>
        <v>0</v>
      </c>
      <c r="I204" s="27">
        <f t="shared" si="7"/>
        <v>0</v>
      </c>
    </row>
    <row r="205" spans="1:9" s="8" customFormat="1" x14ac:dyDescent="0.25">
      <c r="A205" s="26" t="s">
        <v>525</v>
      </c>
      <c r="B205" s="42" t="s">
        <v>42</v>
      </c>
      <c r="C205" s="25">
        <v>120</v>
      </c>
      <c r="D205" s="29">
        <f t="shared" si="8"/>
        <v>6</v>
      </c>
      <c r="E205" s="26" t="s">
        <v>715</v>
      </c>
      <c r="F205" s="26">
        <f>COUNTIF(pokemon!$AC$2:$AC$338, A205)</f>
        <v>2</v>
      </c>
      <c r="G205" s="26" cm="1">
        <f t="array" ref="G205">MIN(IF($A205=pokemon!$AC$2:$AC$338, pokemon!$T$2:$T$338))</f>
        <v>23</v>
      </c>
      <c r="H205" s="26" cm="1">
        <f t="array" ref="H205">MAX(IF($A205=pokemon!$AC$2:$AC$338, pokemon!$T$2:$T$338))</f>
        <v>24</v>
      </c>
      <c r="I205" s="26">
        <f t="shared" si="7"/>
        <v>1</v>
      </c>
    </row>
    <row r="206" spans="1:9" s="8" customFormat="1" x14ac:dyDescent="0.25">
      <c r="A206" s="59" t="s">
        <v>799</v>
      </c>
      <c r="B206" s="39" t="s">
        <v>26</v>
      </c>
      <c r="C206" s="25">
        <v>150</v>
      </c>
      <c r="D206" s="25">
        <f t="shared" si="8"/>
        <v>7</v>
      </c>
      <c r="E206" s="27" t="s">
        <v>958</v>
      </c>
      <c r="F206" s="26">
        <f>COUNTIF(pokemon!$AC$2:$AC$338, A206)</f>
        <v>0</v>
      </c>
      <c r="G206" s="27" cm="1">
        <f t="array" ref="G206">MIN(IF($A206=pokemon!$AC$2:$AC$338, pokemon!$T$2:$T$338))</f>
        <v>0</v>
      </c>
      <c r="H206" s="27" cm="1">
        <f t="array" ref="H206">MAX(IF($A206=pokemon!$AC$2:$AC$338, pokemon!$T$2:$T$338))</f>
        <v>0</v>
      </c>
      <c r="I206" s="27">
        <f t="shared" si="7"/>
        <v>0</v>
      </c>
    </row>
    <row r="207" spans="1:9" s="8" customFormat="1" x14ac:dyDescent="0.25">
      <c r="A207" s="26" t="s">
        <v>506</v>
      </c>
      <c r="B207" s="43" t="s">
        <v>67</v>
      </c>
      <c r="C207" s="25">
        <v>150</v>
      </c>
      <c r="D207" s="29">
        <f t="shared" si="8"/>
        <v>7</v>
      </c>
      <c r="E207" s="59" t="s">
        <v>1242</v>
      </c>
      <c r="F207" s="26">
        <f>COUNTIF(pokemon!$AC$2:$AC$338, A207)</f>
        <v>2</v>
      </c>
      <c r="G207" s="59" cm="1">
        <f t="array" ref="G207">MIN(IF($A207=pokemon!$AC$2:$AC$338, pokemon!$T$2:$T$338))</f>
        <v>23</v>
      </c>
      <c r="H207" s="59" cm="1">
        <f t="array" ref="H207">MAX(IF($A207=pokemon!$AC$2:$AC$338, pokemon!$T$2:$T$338))</f>
        <v>24</v>
      </c>
      <c r="I207" s="59">
        <f t="shared" si="7"/>
        <v>1</v>
      </c>
    </row>
    <row r="208" spans="1:9" s="8" customFormat="1" x14ac:dyDescent="0.25">
      <c r="A208" s="27" t="s">
        <v>917</v>
      </c>
      <c r="B208" s="39" t="s">
        <v>26</v>
      </c>
      <c r="C208" s="25">
        <v>140</v>
      </c>
      <c r="D208" s="25">
        <f t="shared" si="8"/>
        <v>7</v>
      </c>
      <c r="E208" s="27" t="s">
        <v>1200</v>
      </c>
      <c r="F208" s="26">
        <f>COUNTIF(pokemon!$AC$2:$AC$338, A208)</f>
        <v>1</v>
      </c>
      <c r="G208" s="27" cm="1">
        <f t="array" ref="G208">MIN(IF($A208=pokemon!$AC$2:$AC$338, pokemon!$T$2:$T$338))</f>
        <v>17</v>
      </c>
      <c r="H208" s="27" cm="1">
        <f t="array" ref="H208">MAX(IF($A208=pokemon!$AC$2:$AC$338, pokemon!$T$2:$T$338))</f>
        <v>17</v>
      </c>
      <c r="I208" s="27">
        <f t="shared" si="7"/>
        <v>0</v>
      </c>
    </row>
    <row r="209" spans="1:9" s="8" customFormat="1" x14ac:dyDescent="0.25">
      <c r="A209" s="26" t="s">
        <v>540</v>
      </c>
      <c r="B209" s="30" t="s">
        <v>8</v>
      </c>
      <c r="C209" s="25" t="s">
        <v>515</v>
      </c>
      <c r="D209" s="29" t="str">
        <f t="shared" si="8"/>
        <v>?</v>
      </c>
      <c r="E209" s="26" t="s">
        <v>974</v>
      </c>
      <c r="F209" s="26">
        <f>COUNTIF(pokemon!$AC$2:$AC$338, A209)</f>
        <v>1</v>
      </c>
      <c r="G209" s="26" cm="1">
        <f t="array" ref="G209">MIN(IF($A209=pokemon!$AC$2:$AC$338, pokemon!$T$2:$T$338))</f>
        <v>20</v>
      </c>
      <c r="H209" s="26" cm="1">
        <f t="array" ref="H209">MAX(IF($A209=pokemon!$AC$2:$AC$338, pokemon!$T$2:$T$338))</f>
        <v>20</v>
      </c>
      <c r="I209" s="26">
        <f t="shared" si="7"/>
        <v>0</v>
      </c>
    </row>
    <row r="210" spans="1:9" x14ac:dyDescent="0.25">
      <c r="A210" s="26" t="s">
        <v>748</v>
      </c>
      <c r="B210" s="28" t="s">
        <v>22</v>
      </c>
      <c r="C210" s="25" t="s">
        <v>515</v>
      </c>
      <c r="D210" s="29" t="str">
        <f t="shared" si="8"/>
        <v>?</v>
      </c>
      <c r="E210" s="26" t="s">
        <v>974</v>
      </c>
      <c r="F210" s="26">
        <f>COUNTIF(pokemon!$AC$2:$AC$338, A210)</f>
        <v>2</v>
      </c>
      <c r="G210" s="26" cm="1">
        <f t="array" ref="G210">MIN(IF($A210=pokemon!$AC$2:$AC$338, pokemon!$T$2:$T$338))</f>
        <v>18</v>
      </c>
      <c r="H210" s="26" cm="1">
        <f t="array" ref="H210">MAX(IF($A210=pokemon!$AC$2:$AC$338, pokemon!$T$2:$T$338))</f>
        <v>21</v>
      </c>
      <c r="I210" s="26">
        <f t="shared" si="7"/>
        <v>3</v>
      </c>
    </row>
    <row r="211" spans="1:9" x14ac:dyDescent="0.25">
      <c r="A211" s="26" t="s">
        <v>566</v>
      </c>
      <c r="B211" s="45" t="s">
        <v>39</v>
      </c>
      <c r="C211" s="25" t="s">
        <v>515</v>
      </c>
      <c r="D211" s="29" t="str">
        <f t="shared" si="8"/>
        <v>?</v>
      </c>
      <c r="E211" s="26" t="s">
        <v>896</v>
      </c>
      <c r="F211" s="26">
        <f>COUNTIF(pokemon!$AC$2:$AC$338, A211)</f>
        <v>2</v>
      </c>
      <c r="G211" s="26" cm="1">
        <f t="array" ref="G211">MIN(IF($A211=pokemon!$AC$2:$AC$338, pokemon!$T$2:$T$338))</f>
        <v>16</v>
      </c>
      <c r="H211" s="26" cm="1">
        <f t="array" ref="H211">MAX(IF($A211=pokemon!$AC$2:$AC$338, pokemon!$T$2:$T$338))</f>
        <v>17</v>
      </c>
      <c r="I211" s="26">
        <f t="shared" si="7"/>
        <v>1</v>
      </c>
    </row>
    <row r="212" spans="1:9" s="8" customFormat="1" x14ac:dyDescent="0.25">
      <c r="A212" s="26" t="s">
        <v>707</v>
      </c>
      <c r="B212" s="35" t="s">
        <v>14</v>
      </c>
      <c r="C212" s="25" t="s">
        <v>515</v>
      </c>
      <c r="D212" s="29" t="str">
        <f t="shared" si="8"/>
        <v>?</v>
      </c>
      <c r="E212" s="26" t="s">
        <v>975</v>
      </c>
      <c r="F212" s="26">
        <f>COUNTIF(pokemon!$AC$2:$AC$338, A212)</f>
        <v>1</v>
      </c>
      <c r="G212" s="26" cm="1">
        <f t="array" ref="G212">MIN(IF($A212=pokemon!$AC$2:$AC$338, pokemon!$T$2:$T$338))</f>
        <v>18</v>
      </c>
      <c r="H212" s="26" cm="1">
        <f t="array" ref="H212">MAX(IF($A212=pokemon!$AC$2:$AC$338, pokemon!$T$2:$T$338))</f>
        <v>18</v>
      </c>
      <c r="I212" s="26">
        <f t="shared" si="7"/>
        <v>0</v>
      </c>
    </row>
    <row r="213" spans="1:9" x14ac:dyDescent="0.25">
      <c r="A213" s="26" t="s">
        <v>749</v>
      </c>
      <c r="B213" s="28" t="s">
        <v>22</v>
      </c>
      <c r="C213" s="25" t="s">
        <v>515</v>
      </c>
      <c r="D213" s="29" t="str">
        <f t="shared" si="8"/>
        <v>?</v>
      </c>
      <c r="E213" s="26" t="s">
        <v>975</v>
      </c>
      <c r="F213" s="26">
        <f>COUNTIF(pokemon!$AC$2:$AC$338, A213)</f>
        <v>1</v>
      </c>
      <c r="G213" s="26" cm="1">
        <f t="array" ref="G213">MIN(IF($A213=pokemon!$AC$2:$AC$338, pokemon!$T$2:$T$338))</f>
        <v>14</v>
      </c>
      <c r="H213" s="26" cm="1">
        <f t="array" ref="H213">MAX(IF($A213=pokemon!$AC$2:$AC$338, pokemon!$T$2:$T$338))</f>
        <v>14</v>
      </c>
      <c r="I213" s="26">
        <f t="shared" si="7"/>
        <v>0</v>
      </c>
    </row>
    <row r="214" spans="1:9" s="8" customFormat="1" x14ac:dyDescent="0.25">
      <c r="A214" s="26" t="s">
        <v>678</v>
      </c>
      <c r="B214" s="33" t="s">
        <v>11</v>
      </c>
      <c r="C214" s="25" t="s">
        <v>515</v>
      </c>
      <c r="D214" s="29" t="str">
        <f t="shared" si="8"/>
        <v>?</v>
      </c>
      <c r="E214" s="26" t="s">
        <v>897</v>
      </c>
      <c r="F214" s="26">
        <f>COUNTIF(pokemon!$AC$2:$AC$338, A214)</f>
        <v>1</v>
      </c>
      <c r="G214" s="26" cm="1">
        <f t="array" ref="G214">MIN(IF($A214=pokemon!$AC$2:$AC$338, pokemon!$T$2:$T$338))</f>
        <v>12</v>
      </c>
      <c r="H214" s="26" cm="1">
        <f t="array" ref="H214">MAX(IF($A214=pokemon!$AC$2:$AC$338, pokemon!$T$2:$T$338))</f>
        <v>12</v>
      </c>
      <c r="I214" s="26">
        <f t="shared" si="7"/>
        <v>0</v>
      </c>
    </row>
    <row r="215" spans="1:9" x14ac:dyDescent="0.25">
      <c r="A215" s="26" t="s">
        <v>777</v>
      </c>
      <c r="B215" s="31" t="s">
        <v>4</v>
      </c>
      <c r="C215" s="25" t="s">
        <v>515</v>
      </c>
      <c r="D215" s="29" t="str">
        <f t="shared" si="8"/>
        <v>?</v>
      </c>
      <c r="E215" s="26" t="s">
        <v>957</v>
      </c>
      <c r="F215" s="26">
        <f>COUNTIF(pokemon!$AC$2:$AC$338, A215)</f>
        <v>2</v>
      </c>
      <c r="G215" s="26" cm="1">
        <f t="array" ref="G215">MIN(IF($A215=pokemon!$AC$2:$AC$338, pokemon!$T$2:$T$338))</f>
        <v>18</v>
      </c>
      <c r="H215" s="26" cm="1">
        <f t="array" ref="H215">MAX(IF($A215=pokemon!$AC$2:$AC$338, pokemon!$T$2:$T$338))</f>
        <v>21</v>
      </c>
      <c r="I215" s="26">
        <f t="shared" si="7"/>
        <v>3</v>
      </c>
    </row>
    <row r="216" spans="1:9" x14ac:dyDescent="0.25">
      <c r="A216" s="26" t="s">
        <v>887</v>
      </c>
      <c r="B216" s="44" t="s">
        <v>9</v>
      </c>
      <c r="C216" s="25" t="s">
        <v>515</v>
      </c>
      <c r="D216" s="29" t="str">
        <f t="shared" si="8"/>
        <v>?</v>
      </c>
      <c r="E216" s="26" t="s">
        <v>888</v>
      </c>
      <c r="F216" s="26">
        <f>COUNTIF(pokemon!$AC$2:$AC$338, A216)</f>
        <v>1</v>
      </c>
      <c r="G216" s="26" cm="1">
        <f t="array" ref="G216">MIN(IF($A216=pokemon!$AC$2:$AC$338, pokemon!$T$2:$T$338))</f>
        <v>11</v>
      </c>
      <c r="H216" s="26" cm="1">
        <f t="array" ref="H216">MAX(IF($A216=pokemon!$AC$2:$AC$338, pokemon!$T$2:$T$338))</f>
        <v>11</v>
      </c>
      <c r="I216" s="26">
        <f t="shared" si="7"/>
        <v>0</v>
      </c>
    </row>
    <row r="217" spans="1:9" x14ac:dyDescent="0.25">
      <c r="A217" s="26" t="s">
        <v>522</v>
      </c>
      <c r="B217" s="27" t="s">
        <v>553</v>
      </c>
      <c r="C217" s="25" t="s">
        <v>515</v>
      </c>
      <c r="D217" s="29" t="str">
        <f t="shared" si="8"/>
        <v>?</v>
      </c>
      <c r="E217" s="26" t="s">
        <v>656</v>
      </c>
      <c r="F217" s="26">
        <f>COUNTIF(pokemon!$AC$2:$AC$338, A217)</f>
        <v>2</v>
      </c>
      <c r="G217" s="26" cm="1">
        <f t="array" ref="G217">MIN(IF($A217=pokemon!$AC$2:$AC$338, pokemon!$T$2:$T$338))</f>
        <v>11</v>
      </c>
      <c r="H217" s="26" cm="1">
        <f t="array" ref="H217">MAX(IF($A217=pokemon!$AC$2:$AC$338, pokemon!$T$2:$T$338))</f>
        <v>11</v>
      </c>
      <c r="I217" s="26">
        <f t="shared" si="7"/>
        <v>0</v>
      </c>
    </row>
    <row r="218" spans="1:9" x14ac:dyDescent="0.25">
      <c r="A218" s="26" t="s">
        <v>545</v>
      </c>
      <c r="B218" s="27" t="s">
        <v>553</v>
      </c>
      <c r="C218" s="25" t="s">
        <v>515</v>
      </c>
      <c r="D218" s="29" t="str">
        <f t="shared" si="8"/>
        <v>?</v>
      </c>
      <c r="E218" s="26" t="s">
        <v>701</v>
      </c>
      <c r="F218" s="26">
        <f>COUNTIF(pokemon!$AC$2:$AC$338, A218)</f>
        <v>1</v>
      </c>
      <c r="G218" s="26" cm="1">
        <f t="array" ref="G218">MIN(IF($A218=pokemon!$AC$2:$AC$338, pokemon!$T$2:$T$338))</f>
        <v>11</v>
      </c>
      <c r="H218" s="26" cm="1">
        <f t="array" ref="H218">MAX(IF($A218=pokemon!$AC$2:$AC$338, pokemon!$T$2:$T$338))</f>
        <v>11</v>
      </c>
      <c r="I218" s="26">
        <f t="shared" si="7"/>
        <v>0</v>
      </c>
    </row>
  </sheetData>
  <sortState xmlns:xlrd2="http://schemas.microsoft.com/office/spreadsheetml/2017/richdata2" ref="A2:I218">
    <sortCondition ref="D2:D218"/>
    <sortCondition ref="E2:E218"/>
    <sortCondition ref="A2:A218"/>
  </sortState>
  <phoneticPr fontId="18" type="noConversion"/>
  <conditionalFormatting sqref="A116:A119">
    <cfRule type="expression" dxfId="1" priority="17">
      <formula>NOT(ISNA(VLOOKUP(A116,XEH:XEH,1,FALSE)))</formula>
    </cfRule>
  </conditionalFormatting>
  <conditionalFormatting sqref="C194 C2:C11">
    <cfRule type="expression" priority="10">
      <formula>MOD((C2-10),20)=0</formula>
    </cfRule>
  </conditionalFormatting>
  <conditionalFormatting sqref="C6 C12:C218">
    <cfRule type="expression" dxfId="0" priority="8">
      <formula>MOD((C6-10),20)=0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50280-6A16-4374-AAEC-6C6C8F25DF8F}">
  <dimension ref="A1:F38"/>
  <sheetViews>
    <sheetView workbookViewId="0">
      <selection activeCell="D25" sqref="D25"/>
    </sheetView>
  </sheetViews>
  <sheetFormatPr defaultRowHeight="15" x14ac:dyDescent="0.25"/>
  <cols>
    <col min="1" max="1" width="9.7109375" bestFit="1" customWidth="1"/>
    <col min="2" max="2" width="10.7109375" bestFit="1" customWidth="1"/>
    <col min="3" max="3" width="5.7109375" bestFit="1" customWidth="1"/>
    <col min="4" max="4" width="9.7109375" bestFit="1" customWidth="1"/>
    <col min="5" max="5" width="7.140625" bestFit="1" customWidth="1"/>
    <col min="6" max="6" width="5.140625" bestFit="1" customWidth="1"/>
  </cols>
  <sheetData>
    <row r="1" spans="1:6" x14ac:dyDescent="0.25">
      <c r="A1" s="8"/>
      <c r="B1" s="8"/>
      <c r="C1" s="8" t="s">
        <v>620</v>
      </c>
      <c r="D1" s="8" t="s">
        <v>621</v>
      </c>
      <c r="E1" s="8" t="s">
        <v>622</v>
      </c>
      <c r="F1" t="s">
        <v>562</v>
      </c>
    </row>
    <row r="2" spans="1:6" x14ac:dyDescent="0.25">
      <c r="A2" s="8" t="s">
        <v>301</v>
      </c>
      <c r="B2" s="8" t="s">
        <v>299</v>
      </c>
      <c r="C2" s="8">
        <f>COUNTIFS(pokemon!$L:$L, $A2, pokemon!$M:$M, $B2, pokemon!$AI:$AI, C$1)</f>
        <v>6</v>
      </c>
      <c r="D2" s="8">
        <f>COUNTIFS(pokemon!$L:$L, $A2, pokemon!$M:$M, $B2, pokemon!$AI:$AI, D$1)</f>
        <v>7</v>
      </c>
      <c r="E2" s="8">
        <f>COUNTIFS(pokemon!$L:$L, $A2, pokemon!$M:$M, $B2, pokemon!$AI:$AI, E$1)</f>
        <v>8</v>
      </c>
      <c r="F2" s="8">
        <f>SUM(C2,D2,E2)</f>
        <v>21</v>
      </c>
    </row>
    <row r="3" spans="1:6" x14ac:dyDescent="0.25">
      <c r="A3" s="8" t="s">
        <v>301</v>
      </c>
      <c r="B3" s="8" t="s">
        <v>300</v>
      </c>
      <c r="C3" s="8">
        <f>COUNTIFS(pokemon!$L:$L, $A3, pokemon!$M:$M, $B3, pokemon!$AI:$AI, C$1)</f>
        <v>9</v>
      </c>
      <c r="D3" s="8">
        <f>COUNTIFS(pokemon!$L:$L, $A3, pokemon!$M:$M, $B3, pokemon!$AI:$AI, D$1)</f>
        <v>7</v>
      </c>
      <c r="E3" s="8">
        <f>COUNTIFS(pokemon!$L:$L, $A3, pokemon!$M:$M, $B3, pokemon!$AI:$AI, E$1)</f>
        <v>7</v>
      </c>
      <c r="F3">
        <f>SUM(C3,D3,E3)</f>
        <v>23</v>
      </c>
    </row>
    <row r="4" spans="1:6" x14ac:dyDescent="0.25">
      <c r="A4" s="8" t="s">
        <v>301</v>
      </c>
      <c r="B4" s="8" t="s">
        <v>302</v>
      </c>
      <c r="C4" s="8">
        <f>COUNTIFS(pokemon!$L:$L, $A4, pokemon!$M:$M, $B4, pokemon!$AI:$AI, C$1)</f>
        <v>6</v>
      </c>
      <c r="D4" s="8">
        <f>COUNTIFS(pokemon!$L:$L, $A4, pokemon!$M:$M, $B4, pokemon!$AI:$AI, D$1)</f>
        <v>8</v>
      </c>
      <c r="E4" s="8">
        <f>COUNTIFS(pokemon!$L:$L, $A4, pokemon!$M:$M, $B4, pokemon!$AI:$AI, E$1)</f>
        <v>10</v>
      </c>
      <c r="F4" s="8">
        <f t="shared" ref="F4:F13" si="0">SUM(C4,D4,E4)</f>
        <v>24</v>
      </c>
    </row>
    <row r="5" spans="1:6" x14ac:dyDescent="0.25">
      <c r="A5" s="8" t="s">
        <v>298</v>
      </c>
      <c r="B5" s="8" t="s">
        <v>299</v>
      </c>
      <c r="C5" s="8">
        <f>COUNTIFS(pokemon!$L:$L, $A5, pokemon!$M:$M, $B5, pokemon!$AI:$AI, C$1)</f>
        <v>7</v>
      </c>
      <c r="D5" s="8">
        <f>COUNTIFS(pokemon!$L:$L, $A5, pokemon!$M:$M, $B5, pokemon!$AI:$AI, D$1)</f>
        <v>7</v>
      </c>
      <c r="E5" s="8">
        <f>COUNTIFS(pokemon!$L:$L, $A5, pokemon!$M:$M, $B5, pokemon!$AI:$AI, E$1)</f>
        <v>7</v>
      </c>
      <c r="F5" s="8">
        <f t="shared" si="0"/>
        <v>21</v>
      </c>
    </row>
    <row r="6" spans="1:6" x14ac:dyDescent="0.25">
      <c r="A6" s="8" t="s">
        <v>298</v>
      </c>
      <c r="B6" s="8" t="s">
        <v>300</v>
      </c>
      <c r="C6" s="8">
        <f>COUNTIFS(pokemon!$L:$L, $A6, pokemon!$M:$M, $B6, pokemon!$AI:$AI, C$1)</f>
        <v>6</v>
      </c>
      <c r="D6" s="8">
        <f>COUNTIFS(pokemon!$L:$L, $A6, pokemon!$M:$M, $B6, pokemon!$AI:$AI, D$1)</f>
        <v>12</v>
      </c>
      <c r="E6" s="8">
        <f>COUNTIFS(pokemon!$L:$L, $A6, pokemon!$M:$M, $B6, pokemon!$AI:$AI, E$1)</f>
        <v>8</v>
      </c>
      <c r="F6" s="8">
        <f t="shared" si="0"/>
        <v>26</v>
      </c>
    </row>
    <row r="7" spans="1:6" x14ac:dyDescent="0.25">
      <c r="A7" s="8" t="s">
        <v>298</v>
      </c>
      <c r="B7" s="8" t="s">
        <v>302</v>
      </c>
      <c r="C7" s="8">
        <f>COUNTIFS(pokemon!$L:$L, $A7, pokemon!$M:$M, $B7, pokemon!$AI:$AI, C$1)</f>
        <v>6</v>
      </c>
      <c r="D7" s="8">
        <f>COUNTIFS(pokemon!$L:$L, $A7, pokemon!$M:$M, $B7, pokemon!$AI:$AI, D$1)</f>
        <v>8</v>
      </c>
      <c r="E7" s="8">
        <f>COUNTIFS(pokemon!$L:$L, $A7, pokemon!$M:$M, $B7, pokemon!$AI:$AI, E$1)</f>
        <v>11</v>
      </c>
      <c r="F7" s="8">
        <f t="shared" si="0"/>
        <v>25</v>
      </c>
    </row>
    <row r="8" spans="1:6" x14ac:dyDescent="0.25">
      <c r="A8" s="8" t="s">
        <v>304</v>
      </c>
      <c r="B8" s="8" t="s">
        <v>299</v>
      </c>
      <c r="C8" s="8">
        <f>COUNTIFS(pokemon!$L:$L, $A8, pokemon!$M:$M, $B8, pokemon!$AI:$AI, C$1)</f>
        <v>6</v>
      </c>
      <c r="D8" s="8">
        <f>COUNTIFS(pokemon!$L:$L, $A8, pokemon!$M:$M, $B8, pokemon!$AI:$AI, D$1)</f>
        <v>5</v>
      </c>
      <c r="E8" s="8">
        <f>COUNTIFS(pokemon!$L:$L, $A8, pokemon!$M:$M, $B8, pokemon!$AI:$AI, E$1)</f>
        <v>10</v>
      </c>
      <c r="F8" s="8">
        <f t="shared" si="0"/>
        <v>21</v>
      </c>
    </row>
    <row r="9" spans="1:6" x14ac:dyDescent="0.25">
      <c r="A9" s="8" t="s">
        <v>304</v>
      </c>
      <c r="B9" s="8" t="s">
        <v>300</v>
      </c>
      <c r="C9" s="8">
        <f>COUNTIFS(pokemon!$L:$L, $A9, pokemon!$M:$M, $B9, pokemon!$AI:$AI, C$1)</f>
        <v>5</v>
      </c>
      <c r="D9" s="8">
        <f>COUNTIFS(pokemon!$L:$L, $A9, pokemon!$M:$M, $B9, pokemon!$AI:$AI, D$1)</f>
        <v>7</v>
      </c>
      <c r="E9" s="8">
        <f>COUNTIFS(pokemon!$L:$L, $A9, pokemon!$M:$M, $B9, pokemon!$AI:$AI, E$1)</f>
        <v>9</v>
      </c>
      <c r="F9" s="8">
        <f t="shared" si="0"/>
        <v>21</v>
      </c>
    </row>
    <row r="10" spans="1:6" x14ac:dyDescent="0.25">
      <c r="A10" s="8" t="s">
        <v>304</v>
      </c>
      <c r="B10" s="8" t="s">
        <v>302</v>
      </c>
      <c r="C10" s="8">
        <f>COUNTIFS(pokemon!$L:$L, $A10, pokemon!$M:$M, $B10, pokemon!$AI:$AI, C$1)</f>
        <v>6</v>
      </c>
      <c r="D10" s="8">
        <f>COUNTIFS(pokemon!$L:$L, $A10, pokemon!$M:$M, $B10, pokemon!$AI:$AI, D$1)</f>
        <v>11</v>
      </c>
      <c r="E10" s="8">
        <f>COUNTIFS(pokemon!$L:$L, $A10, pokemon!$M:$M, $B10, pokemon!$AI:$AI, E$1)</f>
        <v>9</v>
      </c>
      <c r="F10" s="8">
        <f t="shared" si="0"/>
        <v>26</v>
      </c>
    </row>
    <row r="11" spans="1:6" x14ac:dyDescent="0.25">
      <c r="A11" s="8" t="s">
        <v>303</v>
      </c>
      <c r="B11" s="8" t="s">
        <v>299</v>
      </c>
      <c r="C11" s="8">
        <f>COUNTIFS(pokemon!$L:$L, $A11, pokemon!$M:$M, $B11, pokemon!$AI:$AI, C$1)</f>
        <v>5</v>
      </c>
      <c r="D11" s="8">
        <f>COUNTIFS(pokemon!$L:$L, $A11, pokemon!$M:$M, $B11, pokemon!$AI:$AI, D$1)</f>
        <v>7</v>
      </c>
      <c r="E11" s="8">
        <f>COUNTIFS(pokemon!$L:$L, $A11, pokemon!$M:$M, $B11, pokemon!$AI:$AI, E$1)</f>
        <v>5</v>
      </c>
      <c r="F11" s="8">
        <f t="shared" si="0"/>
        <v>17</v>
      </c>
    </row>
    <row r="12" spans="1:6" x14ac:dyDescent="0.25">
      <c r="A12" s="8" t="s">
        <v>303</v>
      </c>
      <c r="B12" s="8" t="s">
        <v>300</v>
      </c>
      <c r="C12" s="8">
        <f>COUNTIFS(pokemon!$L:$L, $A12, pokemon!$M:$M, $B12, pokemon!$AI:$AI, C$1)</f>
        <v>6</v>
      </c>
      <c r="D12" s="8">
        <f>COUNTIFS(pokemon!$L:$L, $A12, pokemon!$M:$M, $B12, pokemon!$AI:$AI, D$1)</f>
        <v>6</v>
      </c>
      <c r="E12" s="8">
        <f>COUNTIFS(pokemon!$L:$L, $A12, pokemon!$M:$M, $B12, pokemon!$AI:$AI, E$1)</f>
        <v>4</v>
      </c>
      <c r="F12" s="8">
        <f t="shared" si="0"/>
        <v>16</v>
      </c>
    </row>
    <row r="13" spans="1:6" x14ac:dyDescent="0.25">
      <c r="A13" s="8" t="s">
        <v>303</v>
      </c>
      <c r="B13" s="8" t="s">
        <v>302</v>
      </c>
      <c r="C13" s="8">
        <f>COUNTIFS(pokemon!$L:$L, $A13, pokemon!$M:$M, $B13, pokemon!$AI:$AI, C$1)</f>
        <v>6</v>
      </c>
      <c r="D13" s="8">
        <f>COUNTIFS(pokemon!$L:$L, $A13, pokemon!$M:$M, $B13, pokemon!$AI:$AI, D$1)</f>
        <v>5</v>
      </c>
      <c r="E13" s="8">
        <f>COUNTIFS(pokemon!$L:$L, $A13, pokemon!$M:$M, $B13, pokemon!$AI:$AI, E$1)</f>
        <v>4</v>
      </c>
      <c r="F13" s="8">
        <f t="shared" si="0"/>
        <v>15</v>
      </c>
    </row>
    <row r="14" spans="1:6" s="8" customFormat="1" x14ac:dyDescent="0.25">
      <c r="C14" s="8">
        <f>SUM(C2:C13)</f>
        <v>74</v>
      </c>
      <c r="D14" s="8">
        <f>SUM(D2:D13)</f>
        <v>90</v>
      </c>
      <c r="E14" s="8">
        <f>SUM(E2:E13)</f>
        <v>92</v>
      </c>
      <c r="F14" s="8">
        <f>SUM(C14:E14)</f>
        <v>256</v>
      </c>
    </row>
    <row r="15" spans="1:6" x14ac:dyDescent="0.25">
      <c r="A15" s="8"/>
      <c r="B15" s="8"/>
      <c r="C15" s="8"/>
      <c r="D15" s="8"/>
      <c r="E15" s="8"/>
    </row>
    <row r="16" spans="1:6" s="8" customFormat="1" x14ac:dyDescent="0.25">
      <c r="D16" s="8" t="s">
        <v>648</v>
      </c>
      <c r="E16" s="8" t="s">
        <v>649</v>
      </c>
      <c r="F16" s="8" t="s">
        <v>650</v>
      </c>
    </row>
    <row r="17" spans="1:6" x14ac:dyDescent="0.25">
      <c r="A17" s="8" t="s">
        <v>8</v>
      </c>
      <c r="B17" s="8">
        <f>COUNTIF(pokemon!C$2:C$280, $A17)</f>
        <v>32</v>
      </c>
      <c r="C17" s="8">
        <f>COUNTIF(pokemon!D$2:D$280, $A17)</f>
        <v>0</v>
      </c>
      <c r="D17" s="8">
        <f t="shared" ref="D17:D34" si="1">SUM(B17,C17)</f>
        <v>32</v>
      </c>
      <c r="E17" s="8">
        <f>SUMIF(moves!B:B, A17, moves!F:F)</f>
        <v>37</v>
      </c>
      <c r="F17">
        <f>E17/D17</f>
        <v>1.15625</v>
      </c>
    </row>
    <row r="18" spans="1:6" x14ac:dyDescent="0.25">
      <c r="A18" s="8" t="s">
        <v>4</v>
      </c>
      <c r="B18" s="8">
        <f>COUNTIF(pokemon!C$2:C$280, $A18)</f>
        <v>17</v>
      </c>
      <c r="C18" s="8">
        <f>COUNTIF(pokemon!D$2:D$280, $A18)</f>
        <v>3</v>
      </c>
      <c r="D18" s="8">
        <f t="shared" si="1"/>
        <v>20</v>
      </c>
      <c r="E18" s="8">
        <f>SUMIF(moves!B:B, A18, moves!F:F)</f>
        <v>26</v>
      </c>
      <c r="F18" s="8">
        <f t="shared" ref="F18:F33" si="2">E18/D18</f>
        <v>1.3</v>
      </c>
    </row>
    <row r="19" spans="1:6" x14ac:dyDescent="0.25">
      <c r="A19" s="8" t="s">
        <v>6</v>
      </c>
      <c r="B19" s="8">
        <f>COUNTIF(pokemon!C$2:C$280, $A19)</f>
        <v>41</v>
      </c>
      <c r="C19" s="8">
        <f>COUNTIF(pokemon!D$2:D$280, $A19)</f>
        <v>5</v>
      </c>
      <c r="D19" s="8">
        <f t="shared" si="1"/>
        <v>46</v>
      </c>
      <c r="E19" s="8">
        <f>SUMIF(moves!B:B, A19, moves!F:F)</f>
        <v>28</v>
      </c>
      <c r="F19" s="8">
        <f t="shared" si="2"/>
        <v>0.60869565217391308</v>
      </c>
    </row>
    <row r="20" spans="1:6" x14ac:dyDescent="0.25">
      <c r="A20" s="8" t="s">
        <v>11</v>
      </c>
      <c r="B20" s="8">
        <f>COUNTIF(pokemon!C$2:C$280, $A20)</f>
        <v>25</v>
      </c>
      <c r="C20" s="8">
        <f>COUNTIF(pokemon!D$2:D$280, $A20)</f>
        <v>0</v>
      </c>
      <c r="D20" s="8">
        <f t="shared" si="1"/>
        <v>25</v>
      </c>
      <c r="E20" s="8">
        <f>SUMIF(moves!B:B, A20, moves!F:F)</f>
        <v>19</v>
      </c>
      <c r="F20" s="8">
        <f t="shared" si="2"/>
        <v>0.76</v>
      </c>
    </row>
    <row r="21" spans="1:6" x14ac:dyDescent="0.25">
      <c r="A21" s="8" t="s">
        <v>2</v>
      </c>
      <c r="B21" s="8">
        <f>COUNTIF(pokemon!C$2:C$280, $A21)</f>
        <v>19</v>
      </c>
      <c r="C21" s="8">
        <f>COUNTIF(pokemon!D$2:D$280, $A21)</f>
        <v>4</v>
      </c>
      <c r="D21" s="8">
        <f t="shared" si="1"/>
        <v>23</v>
      </c>
      <c r="E21" s="8">
        <f>SUMIF(moves!B:B, A21, moves!F:F)</f>
        <v>19</v>
      </c>
      <c r="F21" s="8">
        <f t="shared" si="2"/>
        <v>0.82608695652173914</v>
      </c>
    </row>
    <row r="22" spans="1:6" x14ac:dyDescent="0.25">
      <c r="A22" s="8" t="s">
        <v>14</v>
      </c>
      <c r="B22" s="8">
        <f>COUNTIF(pokemon!C$2:C$280, $A22)</f>
        <v>16</v>
      </c>
      <c r="C22" s="8">
        <f>COUNTIF(pokemon!D$2:D$280, $A22)</f>
        <v>5</v>
      </c>
      <c r="D22" s="8">
        <f t="shared" si="1"/>
        <v>21</v>
      </c>
      <c r="E22" s="8">
        <f>SUMIF(moves!B:B, A22, moves!F:F)</f>
        <v>18</v>
      </c>
      <c r="F22" s="8">
        <f t="shared" si="2"/>
        <v>0.8571428571428571</v>
      </c>
    </row>
    <row r="23" spans="1:6" x14ac:dyDescent="0.25">
      <c r="A23" s="8" t="s">
        <v>22</v>
      </c>
      <c r="B23" s="8">
        <f>COUNTIF(pokemon!C$2:C$280, $A23)</f>
        <v>12</v>
      </c>
      <c r="C23" s="8">
        <f>COUNTIF(pokemon!D$2:D$280, $A23)</f>
        <v>7</v>
      </c>
      <c r="D23" s="8">
        <f t="shared" si="1"/>
        <v>19</v>
      </c>
      <c r="E23" s="8">
        <f>SUMIF(moves!B:B, A23, moves!F:F)</f>
        <v>16</v>
      </c>
      <c r="F23" s="8">
        <f t="shared" si="2"/>
        <v>0.84210526315789469</v>
      </c>
    </row>
    <row r="24" spans="1:6" x14ac:dyDescent="0.25">
      <c r="A24" s="8" t="s">
        <v>3</v>
      </c>
      <c r="B24" s="8">
        <f>COUNTIF(pokemon!C$2:C$280, $A24)</f>
        <v>9</v>
      </c>
      <c r="C24" s="8">
        <f>COUNTIF(pokemon!D$2:D$280, $A24)</f>
        <v>10</v>
      </c>
      <c r="D24" s="8">
        <f t="shared" si="1"/>
        <v>19</v>
      </c>
      <c r="E24" s="8">
        <f>SUMIF(moves!B:B, A24, moves!F:F)</f>
        <v>14</v>
      </c>
      <c r="F24" s="8">
        <f t="shared" si="2"/>
        <v>0.73684210526315785</v>
      </c>
    </row>
    <row r="25" spans="1:6" x14ac:dyDescent="0.25">
      <c r="A25" s="8" t="s">
        <v>13</v>
      </c>
      <c r="B25" s="8">
        <f>COUNTIF(pokemon!C$2:C$280, $A25)</f>
        <v>7</v>
      </c>
      <c r="C25" s="8">
        <f>COUNTIF(pokemon!D$2:D$280, $A25)</f>
        <v>23</v>
      </c>
      <c r="D25" s="8">
        <f t="shared" si="1"/>
        <v>30</v>
      </c>
      <c r="E25" s="8">
        <f>SUMIF(moves!B:B, A25, moves!F:F)</f>
        <v>14</v>
      </c>
      <c r="F25" s="8">
        <f t="shared" si="2"/>
        <v>0.46666666666666667</v>
      </c>
    </row>
    <row r="26" spans="1:6" x14ac:dyDescent="0.25">
      <c r="A26" s="8" t="s">
        <v>5</v>
      </c>
      <c r="B26" s="8">
        <f>COUNTIF(pokemon!C$2:C$280, $A26)</f>
        <v>0</v>
      </c>
      <c r="C26" s="8">
        <f>COUNTIF(pokemon!D$2:D$280, $A26)</f>
        <v>42</v>
      </c>
      <c r="D26" s="8">
        <f t="shared" si="1"/>
        <v>42</v>
      </c>
      <c r="E26" s="8">
        <f>SUMIF(moves!B:B, A26, moves!F:F)</f>
        <v>16</v>
      </c>
      <c r="F26" s="8">
        <f t="shared" si="2"/>
        <v>0.38095238095238093</v>
      </c>
    </row>
    <row r="27" spans="1:6" x14ac:dyDescent="0.25">
      <c r="A27" s="8" t="s">
        <v>26</v>
      </c>
      <c r="B27" s="8">
        <f>COUNTIF(pokemon!C$2:C$280, $A27)</f>
        <v>15</v>
      </c>
      <c r="C27" s="8">
        <f>COUNTIF(pokemon!D$2:D$280, $A27)</f>
        <v>5</v>
      </c>
      <c r="D27" s="8">
        <f t="shared" si="1"/>
        <v>20</v>
      </c>
      <c r="E27" s="8">
        <f>SUMIF(moves!B:B, A27, moves!F:F)</f>
        <v>20</v>
      </c>
      <c r="F27" s="8">
        <f t="shared" si="2"/>
        <v>1</v>
      </c>
    </row>
    <row r="28" spans="1:6" x14ac:dyDescent="0.25">
      <c r="A28" s="8" t="s">
        <v>7</v>
      </c>
      <c r="B28" s="8">
        <f>COUNTIF(pokemon!C$2:C$280, $A28)</f>
        <v>19</v>
      </c>
      <c r="C28" s="8">
        <f>COUNTIF(pokemon!D$2:D$280, $A28)</f>
        <v>1</v>
      </c>
      <c r="D28" s="8">
        <f t="shared" si="1"/>
        <v>20</v>
      </c>
      <c r="E28" s="8">
        <f>SUMIF(moves!B:B, A28, moves!F:F)</f>
        <v>15</v>
      </c>
      <c r="F28" s="8">
        <f t="shared" si="2"/>
        <v>0.75</v>
      </c>
    </row>
    <row r="29" spans="1:6" x14ac:dyDescent="0.25">
      <c r="A29" s="8" t="s">
        <v>33</v>
      </c>
      <c r="B29" s="8">
        <f>COUNTIF(pokemon!C$2:C$280, $A29)</f>
        <v>16</v>
      </c>
      <c r="C29" s="8">
        <f>COUNTIF(pokemon!D$2:D$280, $A29)</f>
        <v>4</v>
      </c>
      <c r="D29" s="8">
        <f t="shared" si="1"/>
        <v>20</v>
      </c>
      <c r="E29" s="8">
        <f>SUMIF(moves!B:B, A29, moves!F:F)</f>
        <v>17</v>
      </c>
      <c r="F29" s="8">
        <f t="shared" si="2"/>
        <v>0.85</v>
      </c>
    </row>
    <row r="30" spans="1:6" x14ac:dyDescent="0.25">
      <c r="A30" s="8" t="s">
        <v>42</v>
      </c>
      <c r="B30" s="8">
        <f>COUNTIF(pokemon!C$2:C$280, $A30)</f>
        <v>16</v>
      </c>
      <c r="C30" s="8">
        <f>COUNTIF(pokemon!D$2:D$280, $A30)</f>
        <v>2</v>
      </c>
      <c r="D30" s="8">
        <f t="shared" si="1"/>
        <v>18</v>
      </c>
      <c r="E30" s="8">
        <f>SUMIF(moves!B:B, A30, moves!F:F)</f>
        <v>15</v>
      </c>
      <c r="F30" s="8">
        <f t="shared" si="2"/>
        <v>0.83333333333333337</v>
      </c>
    </row>
    <row r="31" spans="1:6" x14ac:dyDescent="0.25">
      <c r="A31" s="8" t="s">
        <v>67</v>
      </c>
      <c r="B31" s="8">
        <f>COUNTIF(pokemon!C$2:C$280, $A31)</f>
        <v>10</v>
      </c>
      <c r="C31" s="8">
        <f>COUNTIF(pokemon!D$2:D$280, $A31)</f>
        <v>7</v>
      </c>
      <c r="D31" s="8">
        <f t="shared" si="1"/>
        <v>17</v>
      </c>
      <c r="E31" s="8">
        <f>SUMIF(moves!B:B, A31, moves!F:F)</f>
        <v>12</v>
      </c>
      <c r="F31" s="8">
        <f t="shared" si="2"/>
        <v>0.70588235294117652</v>
      </c>
    </row>
    <row r="32" spans="1:6" x14ac:dyDescent="0.25">
      <c r="A32" s="8" t="s">
        <v>9</v>
      </c>
      <c r="B32" s="8">
        <f>COUNTIF(pokemon!C$2:C$280, $A32)</f>
        <v>11</v>
      </c>
      <c r="C32" s="8">
        <f>COUNTIF(pokemon!D$2:D$280, $A32)</f>
        <v>5</v>
      </c>
      <c r="D32" s="8">
        <f t="shared" si="1"/>
        <v>16</v>
      </c>
      <c r="E32" s="8">
        <f>SUMIF(moves!B:B, A32, moves!F:F)</f>
        <v>17</v>
      </c>
      <c r="F32" s="8">
        <f t="shared" si="2"/>
        <v>1.0625</v>
      </c>
    </row>
    <row r="33" spans="1:6" x14ac:dyDescent="0.25">
      <c r="A33" s="8" t="s">
        <v>39</v>
      </c>
      <c r="B33" s="8">
        <f>COUNTIF(pokemon!C$2:C$280, $A33)</f>
        <v>6</v>
      </c>
      <c r="C33" s="8">
        <f>COUNTIF(pokemon!D$2:D$280, $A33)</f>
        <v>12</v>
      </c>
      <c r="D33" s="8">
        <f t="shared" si="1"/>
        <v>18</v>
      </c>
      <c r="E33" s="8">
        <f>SUMIF(moves!B:B, A33, moves!F:F)</f>
        <v>15</v>
      </c>
      <c r="F33" s="8">
        <f t="shared" si="2"/>
        <v>0.83333333333333337</v>
      </c>
    </row>
    <row r="34" spans="1:6" x14ac:dyDescent="0.25">
      <c r="A34" s="8" t="s">
        <v>16</v>
      </c>
      <c r="B34" s="8">
        <f>COUNTIF(pokemon!C$2:C$280, $A34)</f>
        <v>8</v>
      </c>
      <c r="C34" s="8">
        <f>COUNTIF(pokemon!D$2:D$280, $A34)</f>
        <v>9</v>
      </c>
      <c r="D34" s="8">
        <f t="shared" si="1"/>
        <v>17</v>
      </c>
      <c r="E34" s="8">
        <f>SUMIF(moves!B:B, A34, moves!F:F)</f>
        <v>10</v>
      </c>
      <c r="F34" s="8">
        <f>E34/D34</f>
        <v>0.58823529411764708</v>
      </c>
    </row>
    <row r="35" spans="1:6" x14ac:dyDescent="0.25">
      <c r="A35" s="8"/>
      <c r="B35" s="8"/>
      <c r="C35" s="8"/>
      <c r="D35" s="8"/>
      <c r="E35" s="8"/>
    </row>
    <row r="36" spans="1:6" x14ac:dyDescent="0.25">
      <c r="A36" s="8"/>
      <c r="B36" s="8"/>
      <c r="C36" s="8"/>
      <c r="D36" s="8"/>
      <c r="E36" s="8"/>
    </row>
    <row r="37" spans="1:6" x14ac:dyDescent="0.25">
      <c r="A37" s="8"/>
      <c r="B37" s="12"/>
      <c r="C37" s="8"/>
      <c r="D37" s="8"/>
      <c r="E37" s="8"/>
    </row>
    <row r="38" spans="1:6" x14ac:dyDescent="0.25">
      <c r="A38" s="8"/>
      <c r="B38" s="12"/>
      <c r="C38" s="8"/>
      <c r="D38" s="8"/>
      <c r="E38" s="8"/>
    </row>
  </sheetData>
  <conditionalFormatting sqref="D17:D34">
    <cfRule type="colorScale" priority="5">
      <colorScale>
        <cfvo type="min"/>
        <cfvo type="percentile" val="50"/>
        <cfvo type="max"/>
        <color rgb="FF63BE7B"/>
        <color rgb="FFFFEB84"/>
        <color rgb="FFF8696B"/>
      </colorScale>
    </cfRule>
  </conditionalFormatting>
  <conditionalFormatting sqref="D17:D34">
    <cfRule type="colorScale" priority="4">
      <colorScale>
        <cfvo type="min"/>
        <cfvo type="percentile" val="50"/>
        <cfvo type="max"/>
        <color rgb="FFF8696B"/>
        <color rgb="FFFFEB84"/>
        <color rgb="FF63BE7B"/>
      </colorScale>
    </cfRule>
  </conditionalFormatting>
  <conditionalFormatting sqref="C2:E13">
    <cfRule type="colorScale" priority="3">
      <colorScale>
        <cfvo type="min"/>
        <cfvo type="percentile" val="50"/>
        <cfvo type="max"/>
        <color rgb="FFF8696B"/>
        <color rgb="FFFFEB84"/>
        <color rgb="FF63BE7B"/>
      </colorScale>
    </cfRule>
  </conditionalFormatting>
  <conditionalFormatting sqref="C15:E16 E17:E34">
    <cfRule type="colorScale" priority="333">
      <colorScale>
        <cfvo type="min"/>
        <cfvo type="percentile" val="50"/>
        <cfvo type="max"/>
        <color rgb="FF63BE7B"/>
        <color rgb="FFFFEB84"/>
        <color rgb="FFF8696B"/>
      </colorScale>
    </cfRule>
  </conditionalFormatting>
  <conditionalFormatting sqref="C2:E13 C15:E16 E17:E34">
    <cfRule type="colorScale" priority="335">
      <colorScale>
        <cfvo type="min"/>
        <cfvo type="percentile" val="50"/>
        <cfvo type="max"/>
        <color rgb="FF63BE7B"/>
        <color rgb="FFFFEB84"/>
        <color rgb="FFF8696B"/>
      </colorScale>
    </cfRule>
  </conditionalFormatting>
  <conditionalFormatting sqref="E17:E34">
    <cfRule type="colorScale" priority="2">
      <colorScale>
        <cfvo type="min"/>
        <cfvo type="percentile" val="50"/>
        <cfvo type="max"/>
        <color rgb="FFF8696B"/>
        <color rgb="FFFFEB84"/>
        <color rgb="FF63BE7B"/>
      </colorScale>
    </cfRule>
  </conditionalFormatting>
  <conditionalFormatting sqref="F17:F34">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7F8CE-143A-44EF-A2AE-F94FA755C084}">
  <dimension ref="A1:E51"/>
  <sheetViews>
    <sheetView workbookViewId="0">
      <selection activeCell="E10" sqref="E10"/>
    </sheetView>
  </sheetViews>
  <sheetFormatPr defaultRowHeight="15" x14ac:dyDescent="0.25"/>
  <cols>
    <col min="1" max="1" width="17.28515625" style="52" bestFit="1" customWidth="1"/>
    <col min="2" max="2" width="20" style="52" bestFit="1" customWidth="1"/>
    <col min="3" max="3" width="52.7109375" style="51" customWidth="1"/>
    <col min="4" max="4" width="20.5703125" style="52" bestFit="1" customWidth="1"/>
    <col min="5" max="5" width="61.28515625" style="51" customWidth="1"/>
  </cols>
  <sheetData>
    <row r="1" spans="1:5" x14ac:dyDescent="0.25">
      <c r="A1" s="53" t="s">
        <v>980</v>
      </c>
      <c r="B1" s="53" t="s">
        <v>981</v>
      </c>
      <c r="C1" s="50" t="s">
        <v>982</v>
      </c>
      <c r="D1" s="53" t="s">
        <v>983</v>
      </c>
      <c r="E1" s="50" t="s">
        <v>984</v>
      </c>
    </row>
    <row r="2" spans="1:5" ht="30" x14ac:dyDescent="0.25">
      <c r="A2" s="52" t="s">
        <v>990</v>
      </c>
      <c r="B2" s="52" t="s">
        <v>991</v>
      </c>
      <c r="C2" s="51" t="s">
        <v>992</v>
      </c>
      <c r="D2" s="52" t="s">
        <v>993</v>
      </c>
      <c r="E2" s="51" t="s">
        <v>994</v>
      </c>
    </row>
    <row r="3" spans="1:5" ht="30" x14ac:dyDescent="0.25">
      <c r="A3" s="52" t="s">
        <v>1094</v>
      </c>
      <c r="B3" s="52" t="s">
        <v>936</v>
      </c>
      <c r="C3" s="51" t="s">
        <v>1120</v>
      </c>
      <c r="D3" s="52" t="s">
        <v>1043</v>
      </c>
      <c r="E3" s="51" t="s">
        <v>1102</v>
      </c>
    </row>
    <row r="4" spans="1:5" ht="45" x14ac:dyDescent="0.25">
      <c r="A4" s="52" t="s">
        <v>1081</v>
      </c>
      <c r="B4" s="52" t="s">
        <v>1084</v>
      </c>
      <c r="C4" s="51" t="s">
        <v>1085</v>
      </c>
      <c r="D4" s="52" t="s">
        <v>1086</v>
      </c>
      <c r="E4" s="51" t="s">
        <v>1093</v>
      </c>
    </row>
    <row r="5" spans="1:5" s="8" customFormat="1" ht="30" x14ac:dyDescent="0.25">
      <c r="A5" s="52" t="s">
        <v>1127</v>
      </c>
      <c r="B5" s="52" t="s">
        <v>1128</v>
      </c>
      <c r="C5" s="51" t="s">
        <v>1137</v>
      </c>
      <c r="D5" s="54" t="s">
        <v>1136</v>
      </c>
      <c r="E5" s="51" t="s">
        <v>1134</v>
      </c>
    </row>
    <row r="6" spans="1:5" ht="30" x14ac:dyDescent="0.25">
      <c r="A6" s="52" t="s">
        <v>1045</v>
      </c>
      <c r="B6" s="52" t="s">
        <v>1046</v>
      </c>
      <c r="C6" s="51" t="s">
        <v>1166</v>
      </c>
      <c r="D6" s="52" t="s">
        <v>1064</v>
      </c>
      <c r="E6" s="51" t="s">
        <v>1063</v>
      </c>
    </row>
    <row r="7" spans="1:5" ht="45" x14ac:dyDescent="0.25">
      <c r="A7" s="52" t="s">
        <v>1015</v>
      </c>
      <c r="B7" s="52" t="s">
        <v>1050</v>
      </c>
      <c r="C7" s="51" t="s">
        <v>1053</v>
      </c>
      <c r="D7" s="52" t="s">
        <v>1112</v>
      </c>
      <c r="E7" s="51" t="s">
        <v>1118</v>
      </c>
    </row>
    <row r="8" spans="1:5" ht="30" x14ac:dyDescent="0.25">
      <c r="A8" s="52" t="s">
        <v>999</v>
      </c>
      <c r="B8" s="52" t="s">
        <v>1001</v>
      </c>
      <c r="C8" s="51" t="s">
        <v>1000</v>
      </c>
      <c r="D8" s="52" t="s">
        <v>1024</v>
      </c>
      <c r="E8" s="51" t="s">
        <v>1119</v>
      </c>
    </row>
    <row r="9" spans="1:5" ht="30" x14ac:dyDescent="0.25">
      <c r="A9" s="52" t="s">
        <v>1004</v>
      </c>
      <c r="B9" s="54" t="s">
        <v>1151</v>
      </c>
      <c r="C9" s="55" t="s">
        <v>1153</v>
      </c>
      <c r="D9" s="54" t="s">
        <v>1152</v>
      </c>
      <c r="E9" s="55" t="s">
        <v>1005</v>
      </c>
    </row>
    <row r="10" spans="1:5" ht="30" x14ac:dyDescent="0.25">
      <c r="A10" s="52" t="s">
        <v>1061</v>
      </c>
      <c r="B10" s="54" t="s">
        <v>1108</v>
      </c>
      <c r="C10" s="55" t="s">
        <v>1109</v>
      </c>
      <c r="D10" s="52" t="s">
        <v>1066</v>
      </c>
      <c r="E10" s="51" t="s">
        <v>1062</v>
      </c>
    </row>
    <row r="11" spans="1:5" ht="75" x14ac:dyDescent="0.25">
      <c r="A11" s="52" t="s">
        <v>1016</v>
      </c>
      <c r="B11" s="52" t="s">
        <v>1019</v>
      </c>
      <c r="C11" s="51" t="s">
        <v>1115</v>
      </c>
      <c r="D11" s="52" t="s">
        <v>1025</v>
      </c>
      <c r="E11" s="51" t="s">
        <v>1114</v>
      </c>
    </row>
    <row r="12" spans="1:5" ht="45" x14ac:dyDescent="0.25">
      <c r="A12" s="52" t="s">
        <v>1089</v>
      </c>
      <c r="B12" s="52" t="s">
        <v>1090</v>
      </c>
      <c r="C12" s="51" t="s">
        <v>1197</v>
      </c>
      <c r="D12" s="52" t="s">
        <v>1091</v>
      </c>
      <c r="E12" s="51" t="s">
        <v>1092</v>
      </c>
    </row>
    <row r="13" spans="1:5" ht="30" x14ac:dyDescent="0.25">
      <c r="A13" s="52" t="s">
        <v>1044</v>
      </c>
      <c r="B13" s="52" t="s">
        <v>1047</v>
      </c>
      <c r="C13" s="51" t="s">
        <v>1110</v>
      </c>
      <c r="D13" s="52" t="s">
        <v>1088</v>
      </c>
      <c r="E13" s="51" t="s">
        <v>1201</v>
      </c>
    </row>
    <row r="14" spans="1:5" ht="45" x14ac:dyDescent="0.25">
      <c r="A14" s="52" t="s">
        <v>1082</v>
      </c>
      <c r="B14" s="54" t="s">
        <v>1111</v>
      </c>
      <c r="C14" s="55" t="s">
        <v>1117</v>
      </c>
      <c r="D14" s="52" t="s">
        <v>1105</v>
      </c>
      <c r="E14" s="51" t="s">
        <v>1083</v>
      </c>
    </row>
    <row r="15" spans="1:5" ht="60" x14ac:dyDescent="0.25">
      <c r="A15" s="52" t="s">
        <v>985</v>
      </c>
      <c r="B15" s="52" t="s">
        <v>986</v>
      </c>
      <c r="C15" s="51" t="s">
        <v>1159</v>
      </c>
      <c r="D15" s="52" t="s">
        <v>1023</v>
      </c>
      <c r="E15" s="51" t="s">
        <v>1116</v>
      </c>
    </row>
    <row r="16" spans="1:5" ht="30" x14ac:dyDescent="0.25">
      <c r="A16" s="52" t="s">
        <v>1074</v>
      </c>
      <c r="B16" s="52" t="s">
        <v>1149</v>
      </c>
      <c r="C16" s="51" t="s">
        <v>1150</v>
      </c>
      <c r="D16" s="52" t="s">
        <v>1113</v>
      </c>
      <c r="E16" s="51" t="s">
        <v>1223</v>
      </c>
    </row>
    <row r="17" spans="1:5" s="8" customFormat="1" ht="60" x14ac:dyDescent="0.25">
      <c r="A17" s="52" t="s">
        <v>1129</v>
      </c>
      <c r="B17" s="52" t="s">
        <v>1161</v>
      </c>
      <c r="C17" s="51" t="s">
        <v>1163</v>
      </c>
      <c r="D17" s="52" t="s">
        <v>1138</v>
      </c>
      <c r="E17" s="51" t="s">
        <v>1162</v>
      </c>
    </row>
    <row r="18" spans="1:5" ht="30" x14ac:dyDescent="0.25">
      <c r="A18" s="52" t="s">
        <v>1012</v>
      </c>
      <c r="B18" s="52" t="s">
        <v>1014</v>
      </c>
      <c r="C18" s="51" t="s">
        <v>1106</v>
      </c>
      <c r="D18" s="52" t="s">
        <v>1107</v>
      </c>
      <c r="E18" s="51" t="s">
        <v>1121</v>
      </c>
    </row>
    <row r="19" spans="1:5" ht="45" x14ac:dyDescent="0.25">
      <c r="A19" s="52" t="s">
        <v>995</v>
      </c>
      <c r="B19" s="52" t="s">
        <v>996</v>
      </c>
      <c r="C19" s="51" t="s">
        <v>1196</v>
      </c>
      <c r="D19" s="52" t="s">
        <v>997</v>
      </c>
      <c r="E19" s="51" t="s">
        <v>1181</v>
      </c>
    </row>
    <row r="20" spans="1:5" ht="60" x14ac:dyDescent="0.25">
      <c r="A20" s="52" t="s">
        <v>1075</v>
      </c>
      <c r="B20" s="52" t="s">
        <v>1076</v>
      </c>
      <c r="C20" s="51" t="s">
        <v>1087</v>
      </c>
      <c r="D20" s="52" t="s">
        <v>1077</v>
      </c>
      <c r="E20" s="51" t="s">
        <v>1078</v>
      </c>
    </row>
    <row r="21" spans="1:5" s="8" customFormat="1" ht="60" x14ac:dyDescent="0.25">
      <c r="A21" s="52" t="s">
        <v>1013</v>
      </c>
      <c r="B21" s="52" t="s">
        <v>1020</v>
      </c>
      <c r="C21" s="51" t="s">
        <v>1022</v>
      </c>
      <c r="D21" s="52" t="s">
        <v>1021</v>
      </c>
      <c r="E21" s="51" t="s">
        <v>1054</v>
      </c>
    </row>
    <row r="22" spans="1:5" s="8" customFormat="1" ht="45" x14ac:dyDescent="0.25">
      <c r="A22" s="52" t="s">
        <v>1009</v>
      </c>
      <c r="B22" s="52" t="s">
        <v>1010</v>
      </c>
      <c r="C22" s="51" t="s">
        <v>1026</v>
      </c>
      <c r="D22" s="52" t="s">
        <v>1011</v>
      </c>
      <c r="E22" s="51" t="s">
        <v>1051</v>
      </c>
    </row>
    <row r="23" spans="1:5" ht="30" x14ac:dyDescent="0.25">
      <c r="A23" s="52" t="s">
        <v>1079</v>
      </c>
      <c r="B23" s="52" t="s">
        <v>1080</v>
      </c>
      <c r="C23" s="51" t="s">
        <v>1157</v>
      </c>
      <c r="D23" s="52" t="s">
        <v>1101</v>
      </c>
      <c r="E23" s="51" t="s">
        <v>1100</v>
      </c>
    </row>
    <row r="24" spans="1:5" s="8" customFormat="1" ht="75" x14ac:dyDescent="0.25">
      <c r="A24" s="52" t="s">
        <v>1146</v>
      </c>
      <c r="B24" s="54" t="s">
        <v>1147</v>
      </c>
      <c r="C24" s="55" t="s">
        <v>1238</v>
      </c>
      <c r="D24" s="54" t="s">
        <v>1148</v>
      </c>
      <c r="E24" s="55" t="s">
        <v>1239</v>
      </c>
    </row>
    <row r="25" spans="1:5" s="8" customFormat="1" x14ac:dyDescent="0.25">
      <c r="A25" s="52" t="s">
        <v>1130</v>
      </c>
      <c r="B25" s="52" t="s">
        <v>1132</v>
      </c>
      <c r="C25" s="51" t="s">
        <v>1133</v>
      </c>
      <c r="D25" s="52" t="s">
        <v>1131</v>
      </c>
      <c r="E25" s="51" t="s">
        <v>1135</v>
      </c>
    </row>
    <row r="26" spans="1:5" ht="60" x14ac:dyDescent="0.25">
      <c r="A26" s="52" t="s">
        <v>1027</v>
      </c>
      <c r="B26" s="52" t="s">
        <v>1175</v>
      </c>
      <c r="C26" s="51" t="s">
        <v>1060</v>
      </c>
      <c r="D26" s="52" t="s">
        <v>1049</v>
      </c>
      <c r="E26" s="51" t="s">
        <v>1240</v>
      </c>
    </row>
    <row r="27" spans="1:5" ht="45" x14ac:dyDescent="0.25">
      <c r="A27" s="52" t="s">
        <v>987</v>
      </c>
      <c r="B27" s="52" t="s">
        <v>988</v>
      </c>
      <c r="C27" s="51" t="s">
        <v>989</v>
      </c>
      <c r="D27" s="52" t="s">
        <v>998</v>
      </c>
      <c r="E27" s="51" t="s">
        <v>1048</v>
      </c>
    </row>
    <row r="28" spans="1:5" ht="60" x14ac:dyDescent="0.25">
      <c r="A28" s="52" t="s">
        <v>1028</v>
      </c>
      <c r="B28" s="52" t="s">
        <v>1041</v>
      </c>
      <c r="C28" s="51" t="s">
        <v>1042</v>
      </c>
      <c r="D28" s="54" t="s">
        <v>1104</v>
      </c>
      <c r="E28" s="51" t="s">
        <v>1103</v>
      </c>
    </row>
    <row r="29" spans="1:5" ht="30" x14ac:dyDescent="0.25">
      <c r="A29" s="52" t="s">
        <v>498</v>
      </c>
      <c r="B29" s="52" t="s">
        <v>1057</v>
      </c>
      <c r="C29" s="51" t="s">
        <v>1315</v>
      </c>
      <c r="D29" s="52" t="s">
        <v>1040</v>
      </c>
      <c r="E29" s="51" t="s">
        <v>1188</v>
      </c>
    </row>
    <row r="30" spans="1:5" ht="30" x14ac:dyDescent="0.25">
      <c r="A30" s="52" t="s">
        <v>1033</v>
      </c>
      <c r="B30" s="52" t="s">
        <v>1034</v>
      </c>
      <c r="C30" s="51" t="s">
        <v>1164</v>
      </c>
      <c r="D30" s="52" t="s">
        <v>1035</v>
      </c>
      <c r="E30" s="51" t="s">
        <v>1122</v>
      </c>
    </row>
    <row r="31" spans="1:5" ht="45" x14ac:dyDescent="0.25">
      <c r="A31" s="52" t="s">
        <v>1006</v>
      </c>
      <c r="B31" s="52" t="s">
        <v>1007</v>
      </c>
      <c r="C31" s="51" t="s">
        <v>1052</v>
      </c>
      <c r="D31" s="52" t="s">
        <v>1008</v>
      </c>
      <c r="E31" s="51" t="s">
        <v>1123</v>
      </c>
    </row>
    <row r="32" spans="1:5" ht="60" x14ac:dyDescent="0.25">
      <c r="A32" s="52" t="s">
        <v>1002</v>
      </c>
      <c r="B32" s="52" t="s">
        <v>1003</v>
      </c>
      <c r="C32" s="51" t="s">
        <v>1337</v>
      </c>
      <c r="D32" s="52" t="s">
        <v>1017</v>
      </c>
      <c r="E32" s="51" t="s">
        <v>1018</v>
      </c>
    </row>
    <row r="33" spans="1:5" ht="30" x14ac:dyDescent="0.25">
      <c r="A33" s="52" t="s">
        <v>1036</v>
      </c>
      <c r="B33" s="52" t="s">
        <v>1055</v>
      </c>
      <c r="C33" s="51" t="s">
        <v>1058</v>
      </c>
      <c r="D33" s="52" t="s">
        <v>1038</v>
      </c>
      <c r="E33" s="51" t="s">
        <v>1124</v>
      </c>
    </row>
    <row r="34" spans="1:5" ht="45" x14ac:dyDescent="0.25">
      <c r="A34" s="52" t="s">
        <v>1037</v>
      </c>
      <c r="B34" s="52" t="s">
        <v>1056</v>
      </c>
      <c r="C34" s="51" t="s">
        <v>1059</v>
      </c>
      <c r="D34" s="52" t="s">
        <v>1039</v>
      </c>
      <c r="E34" s="51" t="s">
        <v>1125</v>
      </c>
    </row>
    <row r="35" spans="1:5" ht="60" x14ac:dyDescent="0.25">
      <c r="A35" s="52" t="s">
        <v>1029</v>
      </c>
      <c r="B35" s="52" t="s">
        <v>1030</v>
      </c>
      <c r="C35" s="51" t="s">
        <v>1126</v>
      </c>
      <c r="D35" s="52" t="s">
        <v>1031</v>
      </c>
      <c r="E35" s="51" t="s">
        <v>1032</v>
      </c>
    </row>
    <row r="36" spans="1:5" ht="30" x14ac:dyDescent="0.25">
      <c r="A36" s="52" t="s">
        <v>1071</v>
      </c>
      <c r="B36" s="52" t="s">
        <v>1072</v>
      </c>
      <c r="C36" s="51" t="s">
        <v>1195</v>
      </c>
      <c r="D36" s="52" t="s">
        <v>1073</v>
      </c>
      <c r="E36" s="51" t="s">
        <v>1099</v>
      </c>
    </row>
    <row r="37" spans="1:5" s="8" customFormat="1" ht="30" x14ac:dyDescent="0.25">
      <c r="A37" s="52" t="s">
        <v>1140</v>
      </c>
      <c r="B37" s="54" t="s">
        <v>1183</v>
      </c>
      <c r="C37" s="55" t="s">
        <v>1236</v>
      </c>
      <c r="D37" s="54" t="s">
        <v>1154</v>
      </c>
      <c r="E37" s="55" t="s">
        <v>1145</v>
      </c>
    </row>
    <row r="38" spans="1:5" s="8" customFormat="1" ht="75" x14ac:dyDescent="0.25">
      <c r="A38" s="52" t="s">
        <v>1139</v>
      </c>
      <c r="B38" s="52" t="s">
        <v>1215</v>
      </c>
      <c r="C38" s="51" t="s">
        <v>1182</v>
      </c>
      <c r="D38" s="52" t="s">
        <v>1160</v>
      </c>
      <c r="E38" s="51" t="s">
        <v>1214</v>
      </c>
    </row>
    <row r="39" spans="1:5" ht="45" x14ac:dyDescent="0.25">
      <c r="A39" s="52" t="s">
        <v>1065</v>
      </c>
      <c r="B39" s="52" t="s">
        <v>1068</v>
      </c>
      <c r="C39" s="51" t="s">
        <v>1070</v>
      </c>
      <c r="D39" s="52" t="s">
        <v>1067</v>
      </c>
      <c r="E39" s="51" t="s">
        <v>1069</v>
      </c>
    </row>
    <row r="40" spans="1:5" ht="60" x14ac:dyDescent="0.25">
      <c r="A40" s="52" t="s">
        <v>1155</v>
      </c>
      <c r="B40" s="52" t="s">
        <v>1156</v>
      </c>
      <c r="C40" s="51" t="s">
        <v>1225</v>
      </c>
      <c r="D40" s="52" t="s">
        <v>1165</v>
      </c>
      <c r="E40" s="51" t="s">
        <v>1158</v>
      </c>
    </row>
    <row r="41" spans="1:5" x14ac:dyDescent="0.25">
      <c r="A41" s="52" t="s">
        <v>1167</v>
      </c>
      <c r="B41" s="52" t="s">
        <v>1231</v>
      </c>
      <c r="C41" s="51" t="s">
        <v>1168</v>
      </c>
      <c r="D41" s="52" t="s">
        <v>1237</v>
      </c>
      <c r="E41" s="51" t="s">
        <v>515</v>
      </c>
    </row>
    <row r="42" spans="1:5" ht="45" x14ac:dyDescent="0.25">
      <c r="A42" s="52" t="s">
        <v>1169</v>
      </c>
      <c r="B42" s="52" t="s">
        <v>1179</v>
      </c>
      <c r="C42" s="51" t="s">
        <v>1180</v>
      </c>
      <c r="D42" s="52" t="s">
        <v>1177</v>
      </c>
      <c r="E42" s="51" t="s">
        <v>1178</v>
      </c>
    </row>
    <row r="43" spans="1:5" ht="30" x14ac:dyDescent="0.25">
      <c r="A43" s="52" t="s">
        <v>1170</v>
      </c>
      <c r="B43" s="52" t="s">
        <v>1213</v>
      </c>
      <c r="C43" s="51" t="s">
        <v>1210</v>
      </c>
      <c r="D43" s="52" t="s">
        <v>1212</v>
      </c>
      <c r="E43" s="51" t="s">
        <v>1211</v>
      </c>
    </row>
    <row r="44" spans="1:5" ht="30" x14ac:dyDescent="0.25">
      <c r="A44" s="52" t="s">
        <v>1171</v>
      </c>
      <c r="B44" s="52" t="s">
        <v>1227</v>
      </c>
      <c r="C44" s="51" t="s">
        <v>1194</v>
      </c>
      <c r="D44" s="52" t="s">
        <v>1226</v>
      </c>
      <c r="E44" s="51" t="s">
        <v>1228</v>
      </c>
    </row>
    <row r="45" spans="1:5" ht="45" x14ac:dyDescent="0.25">
      <c r="A45" s="52" t="s">
        <v>1172</v>
      </c>
      <c r="B45" s="52" t="s">
        <v>1218</v>
      </c>
      <c r="C45" s="51" t="s">
        <v>1217</v>
      </c>
      <c r="D45" s="52" t="s">
        <v>1216</v>
      </c>
      <c r="E45" s="51" t="s">
        <v>1219</v>
      </c>
    </row>
    <row r="46" spans="1:5" ht="75" x14ac:dyDescent="0.25">
      <c r="A46" s="52" t="s">
        <v>1173</v>
      </c>
      <c r="B46" s="52" t="s">
        <v>1174</v>
      </c>
      <c r="C46" s="51" t="s">
        <v>1224</v>
      </c>
      <c r="D46" s="52" t="s">
        <v>1229</v>
      </c>
      <c r="E46" s="51" t="s">
        <v>1230</v>
      </c>
    </row>
    <row r="47" spans="1:5" ht="30" x14ac:dyDescent="0.25">
      <c r="A47" s="52" t="s">
        <v>1176</v>
      </c>
      <c r="B47" s="52" t="s">
        <v>1233</v>
      </c>
      <c r="C47" s="51" t="s">
        <v>1232</v>
      </c>
      <c r="D47" s="52" t="s">
        <v>1234</v>
      </c>
      <c r="E47" s="51" t="s">
        <v>1235</v>
      </c>
    </row>
    <row r="48" spans="1:5" ht="45" x14ac:dyDescent="0.25">
      <c r="A48" s="52" t="s">
        <v>1184</v>
      </c>
      <c r="B48" s="52" t="s">
        <v>1189</v>
      </c>
      <c r="C48" s="51" t="s">
        <v>1222</v>
      </c>
      <c r="D48" s="52" t="s">
        <v>1205</v>
      </c>
      <c r="E48" s="51" t="s">
        <v>1202</v>
      </c>
    </row>
    <row r="49" spans="1:5" ht="45" x14ac:dyDescent="0.25">
      <c r="A49" s="52" t="s">
        <v>1185</v>
      </c>
      <c r="B49" s="52" t="s">
        <v>1190</v>
      </c>
      <c r="C49" s="51" t="s">
        <v>1220</v>
      </c>
      <c r="D49" s="52" t="s">
        <v>1206</v>
      </c>
      <c r="E49" s="51" t="s">
        <v>1203</v>
      </c>
    </row>
    <row r="50" spans="1:5" ht="45" x14ac:dyDescent="0.25">
      <c r="A50" s="52" t="s">
        <v>1186</v>
      </c>
      <c r="B50" s="52" t="s">
        <v>1191</v>
      </c>
      <c r="C50" s="51" t="s">
        <v>1221</v>
      </c>
      <c r="D50" s="52" t="s">
        <v>1207</v>
      </c>
      <c r="E50" s="51" t="s">
        <v>1204</v>
      </c>
    </row>
    <row r="51" spans="1:5" ht="45" x14ac:dyDescent="0.25">
      <c r="A51" s="52" t="s">
        <v>1187</v>
      </c>
      <c r="B51" s="52" t="s">
        <v>1193</v>
      </c>
      <c r="C51" s="51" t="s">
        <v>1192</v>
      </c>
      <c r="D51" s="52" t="s">
        <v>1208</v>
      </c>
      <c r="E51" s="51" t="s">
        <v>1209</v>
      </c>
    </row>
  </sheetData>
  <sortState xmlns:xlrd2="http://schemas.microsoft.com/office/spreadsheetml/2017/richdata2" ref="A2:E39">
    <sortCondition ref="A21:A3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pokemon</vt:lpstr>
      <vt:lpstr>moves</vt:lpstr>
      <vt:lpstr>analysis</vt:lpstr>
      <vt:lpstr>trainer_cards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Clarke</dc:creator>
  <cp:lastModifiedBy>Lloyd Clarke</cp:lastModifiedBy>
  <dcterms:created xsi:type="dcterms:W3CDTF">2021-03-17T17:30:22Z</dcterms:created>
  <dcterms:modified xsi:type="dcterms:W3CDTF">2022-06-27T13:47:17Z</dcterms:modified>
</cp:coreProperties>
</file>