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erkreuk-my.sharepoint.com/personal/lewis_walsh_berkre_co_uk/Documents/Documents/Work/Non-Work/Website/_Drafts/2024 01 - Musk pay package/"/>
    </mc:Choice>
  </mc:AlternateContent>
  <xr:revisionPtr revIDLastSave="36" documentId="13_ncr:1_{08C90191-708D-45BB-A8A4-D0F7A89EAB42}" xr6:coauthVersionLast="47" xr6:coauthVersionMax="47" xr10:uidLastSave="{6853A5F6-F888-427B-9A44-65124D223284}"/>
  <bookViews>
    <workbookView xWindow="-38510" yWindow="-110" windowWidth="38620" windowHeight="21220" xr2:uid="{934E7B51-2B40-474A-BCD3-BDA8D0BDE249}"/>
  </bookViews>
  <sheets>
    <sheet name="Vanilla (2)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3" i="3" l="1"/>
  <c r="I28" i="3"/>
  <c r="I27" i="3"/>
  <c r="J27" i="3" s="1"/>
  <c r="I26" i="3"/>
  <c r="I25" i="3"/>
  <c r="I24" i="3"/>
  <c r="I23" i="3"/>
  <c r="J23" i="3" s="1"/>
  <c r="J11" i="3" s="1"/>
  <c r="I22" i="3"/>
  <c r="I21" i="3"/>
  <c r="I20" i="3"/>
  <c r="I19" i="3"/>
  <c r="J19" i="3" s="1"/>
  <c r="I18" i="3"/>
  <c r="I17" i="3"/>
  <c r="I16" i="3"/>
  <c r="I29" i="3"/>
  <c r="J29" i="3" s="1"/>
  <c r="J28" i="3"/>
  <c r="J26" i="3"/>
  <c r="J25" i="3"/>
  <c r="J24" i="3"/>
  <c r="J22" i="3"/>
  <c r="J21" i="3"/>
  <c r="J20" i="3"/>
  <c r="J18" i="3"/>
  <c r="J17" i="3"/>
  <c r="J16" i="3"/>
  <c r="J10" i="3" l="1"/>
  <c r="J13" i="3"/>
  <c r="J12" i="3"/>
  <c r="S22" i="3"/>
  <c r="T22" i="3" s="1"/>
  <c r="U22" i="3" s="1"/>
  <c r="V22" i="3" s="1"/>
  <c r="W22" i="3" s="1"/>
  <c r="X22" i="3" s="1"/>
  <c r="Y22" i="3" s="1"/>
  <c r="Z22" i="3" s="1"/>
  <c r="AA22" i="3" s="1"/>
  <c r="AB22" i="3" s="1"/>
  <c r="AC22" i="3" s="1"/>
  <c r="K22" i="3"/>
  <c r="Q58" i="3"/>
  <c r="Q59" i="3" s="1"/>
  <c r="Q55" i="3" s="1"/>
  <c r="R41" i="3"/>
  <c r="R39" i="3"/>
  <c r="Q32" i="3"/>
  <c r="Q33" i="3" s="1"/>
  <c r="Q34" i="3" s="1"/>
  <c r="Q35" i="3" s="1"/>
  <c r="Q36" i="3" s="1"/>
  <c r="Q30" i="3"/>
  <c r="Q29" i="3" s="1"/>
  <c r="Q28" i="3" s="1"/>
  <c r="Q27" i="3" s="1"/>
  <c r="Q26" i="3" s="1"/>
  <c r="Q25" i="3" s="1"/>
  <c r="Q24" i="3" s="1"/>
  <c r="Q23" i="3" s="1"/>
  <c r="Q22" i="3" s="1"/>
  <c r="Q21" i="3" s="1"/>
  <c r="Q20" i="3" s="1"/>
  <c r="Q19" i="3" s="1"/>
  <c r="Q18" i="3" s="1"/>
  <c r="E30" i="3"/>
  <c r="F30" i="3" s="1"/>
  <c r="G30" i="3" s="1"/>
  <c r="H30" i="3" s="1"/>
  <c r="E29" i="3"/>
  <c r="F29" i="3" s="1"/>
  <c r="G29" i="3" s="1"/>
  <c r="H29" i="3" s="1"/>
  <c r="E28" i="3"/>
  <c r="F28" i="3" s="1"/>
  <c r="G28" i="3" s="1"/>
  <c r="H28" i="3" s="1"/>
  <c r="E27" i="3"/>
  <c r="F27" i="3" s="1"/>
  <c r="G27" i="3" s="1"/>
  <c r="H27" i="3" s="1"/>
  <c r="E26" i="3"/>
  <c r="F26" i="3" s="1"/>
  <c r="G26" i="3" s="1"/>
  <c r="H26" i="3" s="1"/>
  <c r="E25" i="3"/>
  <c r="F25" i="3" s="1"/>
  <c r="G25" i="3" s="1"/>
  <c r="H25" i="3" s="1"/>
  <c r="E24" i="3"/>
  <c r="F24" i="3" s="1"/>
  <c r="G24" i="3" s="1"/>
  <c r="H24" i="3" s="1"/>
  <c r="E23" i="3"/>
  <c r="F23" i="3" s="1"/>
  <c r="G23" i="3" s="1"/>
  <c r="H23" i="3" s="1"/>
  <c r="E22" i="3"/>
  <c r="F22" i="3" s="1"/>
  <c r="G22" i="3" s="1"/>
  <c r="H22" i="3" s="1"/>
  <c r="AC55" i="3" s="1"/>
  <c r="E21" i="3"/>
  <c r="F21" i="3" s="1"/>
  <c r="G21" i="3" s="1"/>
  <c r="H21" i="3" s="1"/>
  <c r="E20" i="3"/>
  <c r="F20" i="3" s="1"/>
  <c r="G20" i="3" s="1"/>
  <c r="H20" i="3" s="1"/>
  <c r="E19" i="3"/>
  <c r="F19" i="3" s="1"/>
  <c r="G19" i="3" s="1"/>
  <c r="E18" i="3"/>
  <c r="F18" i="3" s="1"/>
  <c r="G18" i="3" s="1"/>
  <c r="H18" i="3" s="1"/>
  <c r="E17" i="3"/>
  <c r="F17" i="3" s="1"/>
  <c r="G17" i="3" s="1"/>
  <c r="H17" i="3" s="1"/>
  <c r="S16" i="3"/>
  <c r="T16" i="3" s="1"/>
  <c r="U16" i="3" s="1"/>
  <c r="V16" i="3" s="1"/>
  <c r="W16" i="3" s="1"/>
  <c r="X16" i="3" s="1"/>
  <c r="Y16" i="3" s="1"/>
  <c r="Z16" i="3" s="1"/>
  <c r="AA16" i="3" s="1"/>
  <c r="AB16" i="3" s="1"/>
  <c r="AC16" i="3" s="1"/>
  <c r="E16" i="3"/>
  <c r="F16" i="3" s="1"/>
  <c r="G16" i="3" s="1"/>
  <c r="H16" i="3" s="1"/>
  <c r="S15" i="3"/>
  <c r="S39" i="3" s="1"/>
  <c r="R14" i="3"/>
  <c r="R20" i="3" s="1"/>
  <c r="R27" i="3" s="1"/>
  <c r="S14" i="3" l="1"/>
  <c r="S20" i="3" s="1"/>
  <c r="S27" i="3" s="1"/>
  <c r="T15" i="3"/>
  <c r="U15" i="3" s="1"/>
  <c r="U14" i="3" s="1"/>
  <c r="M21" i="3"/>
  <c r="K23" i="3"/>
  <c r="L23" i="3" s="1"/>
  <c r="M19" i="3"/>
  <c r="M22" i="3"/>
  <c r="S41" i="3"/>
  <c r="M18" i="3"/>
  <c r="M20" i="3"/>
  <c r="M16" i="3"/>
  <c r="M17" i="3"/>
  <c r="T39" i="3" l="1"/>
  <c r="T14" i="3"/>
  <c r="V15" i="3"/>
  <c r="V39" i="3" s="1"/>
  <c r="U39" i="3"/>
  <c r="T41" i="3"/>
  <c r="AA19" i="3"/>
  <c r="S19" i="3"/>
  <c r="R13" i="3"/>
  <c r="R12" i="3" s="1"/>
  <c r="R43" i="3" s="1"/>
  <c r="Z19" i="3"/>
  <c r="R19" i="3"/>
  <c r="Y19" i="3"/>
  <c r="X19" i="3"/>
  <c r="W19" i="3"/>
  <c r="L22" i="3"/>
  <c r="AB19" i="3"/>
  <c r="AC19" i="3"/>
  <c r="V19" i="3"/>
  <c r="U19" i="3"/>
  <c r="T19" i="3"/>
  <c r="T20" i="3"/>
  <c r="T27" i="3" s="1"/>
  <c r="V14" i="3"/>
  <c r="U20" i="3"/>
  <c r="U27" i="3" s="1"/>
  <c r="W15" i="3" l="1"/>
  <c r="Z13" i="3"/>
  <c r="Y13" i="3"/>
  <c r="X13" i="3"/>
  <c r="R29" i="3"/>
  <c r="W13" i="3"/>
  <c r="V13" i="3"/>
  <c r="V12" i="3" s="1"/>
  <c r="V43" i="3" s="1"/>
  <c r="U13" i="3"/>
  <c r="U12" i="3" s="1"/>
  <c r="U43" i="3" s="1"/>
  <c r="T13" i="3"/>
  <c r="T12" i="3" s="1"/>
  <c r="T43" i="3" s="1"/>
  <c r="AC13" i="3"/>
  <c r="AA13" i="3"/>
  <c r="S13" i="3"/>
  <c r="S12" i="3" s="1"/>
  <c r="S43" i="3" s="1"/>
  <c r="S44" i="3" s="1"/>
  <c r="AB13" i="3"/>
  <c r="V20" i="3"/>
  <c r="V27" i="3" s="1"/>
  <c r="U41" i="3"/>
  <c r="R28" i="3"/>
  <c r="S23" i="3"/>
  <c r="S29" i="3" s="1"/>
  <c r="X15" i="3"/>
  <c r="W39" i="3"/>
  <c r="W14" i="3"/>
  <c r="V44" i="3" l="1"/>
  <c r="T44" i="3"/>
  <c r="U44" i="3"/>
  <c r="S46" i="3"/>
  <c r="U46" i="3"/>
  <c r="Y15" i="3"/>
  <c r="X39" i="3"/>
  <c r="X14" i="3"/>
  <c r="R30" i="3"/>
  <c r="R32" i="3" s="1"/>
  <c r="R31" i="3"/>
  <c r="W12" i="3"/>
  <c r="W43" i="3" s="1"/>
  <c r="W44" i="3" s="1"/>
  <c r="W20" i="3"/>
  <c r="S31" i="3"/>
  <c r="V41" i="3"/>
  <c r="T23" i="3"/>
  <c r="S28" i="3"/>
  <c r="S30" i="3" s="1"/>
  <c r="S32" i="3" s="1"/>
  <c r="R34" i="3" l="1"/>
  <c r="T28" i="3"/>
  <c r="U23" i="3"/>
  <c r="T29" i="3"/>
  <c r="X20" i="3"/>
  <c r="X12" i="3"/>
  <c r="X43" i="3" s="1"/>
  <c r="X44" i="3" s="1"/>
  <c r="W41" i="3"/>
  <c r="W27" i="3"/>
  <c r="S34" i="3"/>
  <c r="Y39" i="3"/>
  <c r="Z15" i="3"/>
  <c r="Y14" i="3"/>
  <c r="S38" i="3" l="1"/>
  <c r="S48" i="3"/>
  <c r="R38" i="3"/>
  <c r="R48" i="3"/>
  <c r="X27" i="3"/>
  <c r="AA15" i="3"/>
  <c r="Z14" i="3"/>
  <c r="Z39" i="3"/>
  <c r="Y20" i="3"/>
  <c r="Y12" i="3"/>
  <c r="Y43" i="3" s="1"/>
  <c r="Y44" i="3" s="1"/>
  <c r="X41" i="3"/>
  <c r="T31" i="3"/>
  <c r="T30" i="3"/>
  <c r="T32" i="3" s="1"/>
  <c r="U28" i="3"/>
  <c r="V23" i="3"/>
  <c r="U29" i="3"/>
  <c r="Y46" i="3" l="1"/>
  <c r="Z20" i="3"/>
  <c r="Z12" i="3"/>
  <c r="Z43" i="3" s="1"/>
  <c r="Z44" i="3" s="1"/>
  <c r="AA14" i="3"/>
  <c r="AA39" i="3"/>
  <c r="AB15" i="3"/>
  <c r="Y41" i="3"/>
  <c r="U31" i="3"/>
  <c r="U30" i="3"/>
  <c r="U32" i="3" s="1"/>
  <c r="T34" i="3"/>
  <c r="V28" i="3"/>
  <c r="W23" i="3"/>
  <c r="V29" i="3"/>
  <c r="Y27" i="3"/>
  <c r="T38" i="3" l="1"/>
  <c r="T48" i="3"/>
  <c r="X23" i="3"/>
  <c r="W28" i="3"/>
  <c r="W29" i="3"/>
  <c r="AB39" i="3"/>
  <c r="AB14" i="3"/>
  <c r="AC15" i="3"/>
  <c r="AC54" i="3" s="1"/>
  <c r="AA12" i="3"/>
  <c r="AA43" i="3" s="1"/>
  <c r="AA44" i="3" s="1"/>
  <c r="AA20" i="3"/>
  <c r="V31" i="3"/>
  <c r="V30" i="3"/>
  <c r="V32" i="3" s="1"/>
  <c r="U34" i="3"/>
  <c r="Z41" i="3"/>
  <c r="Z27" i="3"/>
  <c r="U38" i="3" l="1"/>
  <c r="U48" i="3"/>
  <c r="AC39" i="3"/>
  <c r="AC14" i="3"/>
  <c r="AA41" i="3"/>
  <c r="W31" i="3"/>
  <c r="W30" i="3"/>
  <c r="W32" i="3" s="1"/>
  <c r="AB12" i="3"/>
  <c r="AB43" i="3" s="1"/>
  <c r="AB44" i="3" s="1"/>
  <c r="AB20" i="3"/>
  <c r="V34" i="3"/>
  <c r="AA27" i="3"/>
  <c r="Y23" i="3"/>
  <c r="X28" i="3"/>
  <c r="X29" i="3"/>
  <c r="V38" i="3" l="1"/>
  <c r="V48" i="3"/>
  <c r="Z23" i="3"/>
  <c r="Y28" i="3"/>
  <c r="Y29" i="3"/>
  <c r="AB41" i="3"/>
  <c r="X30" i="3"/>
  <c r="X32" i="3" s="1"/>
  <c r="X31" i="3"/>
  <c r="W34" i="3"/>
  <c r="AC12" i="3"/>
  <c r="AC20" i="3"/>
  <c r="AB27" i="3"/>
  <c r="AC51" i="3" l="1"/>
  <c r="AC43" i="3"/>
  <c r="AC44" i="3" s="1"/>
  <c r="W38" i="3"/>
  <c r="W48" i="3"/>
  <c r="X34" i="3"/>
  <c r="AC41" i="3"/>
  <c r="Y30" i="3"/>
  <c r="Y32" i="3" s="1"/>
  <c r="Y31" i="3"/>
  <c r="AC27" i="3"/>
  <c r="AC46" i="3"/>
  <c r="AA23" i="3"/>
  <c r="Z28" i="3"/>
  <c r="Z29" i="3"/>
  <c r="X38" i="3" l="1"/>
  <c r="X48" i="3"/>
  <c r="Y34" i="3"/>
  <c r="Z30" i="3"/>
  <c r="Z32" i="3" s="1"/>
  <c r="Z31" i="3"/>
  <c r="AB23" i="3"/>
  <c r="AA28" i="3"/>
  <c r="AA29" i="3"/>
  <c r="AD41" i="3"/>
  <c r="Y38" i="3" l="1"/>
  <c r="Y48" i="3"/>
  <c r="AA30" i="3"/>
  <c r="AA32" i="3" s="1"/>
  <c r="AA31" i="3"/>
  <c r="AB28" i="3"/>
  <c r="AC23" i="3"/>
  <c r="AB29" i="3"/>
  <c r="Z34" i="3"/>
  <c r="AA34" i="3" l="1"/>
  <c r="AA38" i="3" s="1"/>
  <c r="Z38" i="3"/>
  <c r="Z48" i="3"/>
  <c r="AB31" i="3"/>
  <c r="AB30" i="3"/>
  <c r="AB32" i="3" s="1"/>
  <c r="AC28" i="3"/>
  <c r="AC29" i="3"/>
  <c r="AA48" i="3" l="1"/>
  <c r="AC31" i="3"/>
  <c r="AC30" i="3"/>
  <c r="AC32" i="3" s="1"/>
  <c r="AB34" i="3"/>
  <c r="AB38" i="3" l="1"/>
  <c r="AB48" i="3"/>
  <c r="AC34" i="3"/>
  <c r="AC38" i="3" l="1"/>
  <c r="AD38" i="3" s="1"/>
  <c r="AC48" i="3"/>
  <c r="AD48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Richard Smith</author>
  </authors>
  <commentList>
    <comment ref="P19" authorId="0" shapeId="0" xr:uid="{F92CD43C-EAA7-411C-9F50-B02D131B6BC0}">
      <text>
        <r>
          <rPr>
            <b/>
            <sz val="8"/>
            <color indexed="81"/>
            <rFont val="Tahoma"/>
            <family val="2"/>
          </rPr>
          <t>Enter the assumed stock price at the time of option acquisition.</t>
        </r>
      </text>
    </comment>
    <comment ref="P20" authorId="0" shapeId="0" xr:uid="{B2DAC1D1-DE9D-469B-8880-944A903A9B29}">
      <text>
        <r>
          <rPr>
            <b/>
            <sz val="8"/>
            <color indexed="81"/>
            <rFont val="Tahoma"/>
            <family val="2"/>
          </rPr>
          <t xml:space="preserve">Enter the exercise price of the option you wish to value.
</t>
        </r>
      </text>
    </comment>
    <comment ref="P21" authorId="0" shapeId="0" xr:uid="{4B2B71E1-A496-4A61-8DEE-D2262CC3E536}">
      <text>
        <r>
          <rPr>
            <b/>
            <sz val="8"/>
            <color indexed="81"/>
            <rFont val="Tahoma"/>
            <family val="2"/>
          </rPr>
          <t>Enter the time to option expiration in years or decimal fractions of years.</t>
        </r>
      </text>
    </comment>
    <comment ref="P22" authorId="0" shapeId="0" xr:uid="{46B68709-CFD0-4CEE-85A3-A7CFBEA809B2}">
      <text>
        <r>
          <rPr>
            <b/>
            <sz val="8"/>
            <color indexed="81"/>
            <rFont val="Tahoma"/>
            <family val="2"/>
          </rPr>
          <t xml:space="preserve">Enter the risk-free rate at the time of acquisition for the duration of the option, stated as a compound annual rate.
</t>
        </r>
      </text>
    </comment>
    <comment ref="P23" authorId="0" shapeId="0" xr:uid="{12638BA2-56D7-4A72-9E99-57A785052025}">
      <text>
        <r>
          <rPr>
            <b/>
            <sz val="8"/>
            <color indexed="81"/>
            <rFont val="Tahoma"/>
            <family val="2"/>
          </rPr>
          <t>Enter the standard deviation of returns for the underlying asset, stated as the annualized standard deviation.</t>
        </r>
      </text>
    </comment>
  </commentList>
</comments>
</file>

<file path=xl/sharedStrings.xml><?xml version="1.0" encoding="utf-8"?>
<sst xmlns="http://schemas.openxmlformats.org/spreadsheetml/2006/main" count="69" uniqueCount="68">
  <si>
    <t>Year</t>
  </si>
  <si>
    <t>$596.47 B</t>
  </si>
  <si>
    <t>$789.89 B</t>
  </si>
  <si>
    <t>$388.97 B</t>
  </si>
  <si>
    <t>$1.061 T</t>
  </si>
  <si>
    <t>$668.90 B</t>
  </si>
  <si>
    <t>$75.71 B</t>
  </si>
  <si>
    <t>$57.44 B</t>
  </si>
  <si>
    <t>$52.32 B</t>
  </si>
  <si>
    <t>$34.42 B</t>
  </si>
  <si>
    <t>$31.54 B</t>
  </si>
  <si>
    <t>$27.95 B</t>
  </si>
  <si>
    <t>$18.51 B</t>
  </si>
  <si>
    <t>$3.86 B</t>
  </si>
  <si>
    <t>$2.97 B</t>
  </si>
  <si>
    <t>$2.52 B</t>
  </si>
  <si>
    <t>Market cap ($B)</t>
  </si>
  <si>
    <t xml:space="preserve"> </t>
  </si>
  <si>
    <t>Input Data</t>
  </si>
  <si>
    <t>Stock Price now (P)</t>
  </si>
  <si>
    <t>Exercise Price of Option (EX)</t>
  </si>
  <si>
    <t>Number of periods to Exercise in years (t)</t>
  </si>
  <si>
    <t>Compounded Risk-Free Interest Rate (rf)</t>
  </si>
  <si>
    <t>Output Data</t>
  </si>
  <si>
    <t>Present Value of Exercise Price (PV(EX))</t>
  </si>
  <si>
    <t>d1</t>
  </si>
  <si>
    <t>d2</t>
  </si>
  <si>
    <t>Value of Call</t>
  </si>
  <si>
    <t>Return</t>
  </si>
  <si>
    <t>Tranche</t>
  </si>
  <si>
    <t>Attach</t>
  </si>
  <si>
    <r>
      <t>s</t>
    </r>
    <r>
      <rPr>
        <sz val="10"/>
        <color theme="1"/>
        <rFont val="Calibri"/>
        <family val="2"/>
        <scheme val="minor"/>
      </rPr>
      <t>*t^.5</t>
    </r>
  </si>
  <si>
    <t>Bank Loan  N(d2)*PV(EX)</t>
  </si>
  <si>
    <r>
      <t xml:space="preserve">Standard Deviation (annualized </t>
    </r>
    <r>
      <rPr>
        <sz val="10"/>
        <rFont val="Calibri"/>
        <family val="2"/>
      </rPr>
      <t>s)</t>
    </r>
  </si>
  <si>
    <r>
      <t xml:space="preserve">Delta </t>
    </r>
    <r>
      <rPr>
        <sz val="10"/>
        <rFont val="Calibri"/>
        <family val="2"/>
      </rPr>
      <t>N(d1) Normal Cumulative Density Function</t>
    </r>
  </si>
  <si>
    <t>Annualised return since 2018</t>
  </si>
  <si>
    <t>Market cap yr end</t>
  </si>
  <si>
    <t>https://companiesmarketcap.com/tesla/marketcap/</t>
  </si>
  <si>
    <t>https://pages.stern.nyu.edu/~igiddy/spreadsheets/black-scholes.xls</t>
  </si>
  <si>
    <t>Adapted from NYU stern S/s Black Scholes S/s to price a binary call option:</t>
  </si>
  <si>
    <t>&lt;- value per share</t>
  </si>
  <si>
    <t>Number of Tesla shares</t>
  </si>
  <si>
    <t>Share price</t>
  </si>
  <si>
    <t>Num of additional shares</t>
  </si>
  <si>
    <t>&lt;- number of options</t>
  </si>
  <si>
    <t>&lt;- implied total number of shares at time</t>
  </si>
  <si>
    <t>&lt;- total stock split</t>
  </si>
  <si>
    <t>Payout</t>
  </si>
  <si>
    <t>&lt;- exercise price</t>
  </si>
  <si>
    <t>Exercise price</t>
  </si>
  <si>
    <t>Proxy statement</t>
  </si>
  <si>
    <t>Difference</t>
  </si>
  <si>
    <t>&lt;- annualised Std Dev of return, as-at 2018</t>
  </si>
  <si>
    <t>Additional shares % company</t>
  </si>
  <si>
    <t>Additional payout</t>
  </si>
  <si>
    <t>Exp. Voltaility</t>
  </si>
  <si>
    <t>Use my historic volatility</t>
  </si>
  <si>
    <t>&lt;- 3 yr volatility</t>
  </si>
  <si>
    <t>Ln (return)</t>
  </si>
  <si>
    <t>Disclaimer</t>
  </si>
  <si>
    <t>This Spreadsheet is provided for eductional puposes only</t>
  </si>
  <si>
    <t>The author accepts no responsibility or liability for any errors or omissions</t>
  </si>
  <si>
    <t>Notes</t>
  </si>
  <si>
    <t>Columns B:G contain info on Tesla's historic performance</t>
  </si>
  <si>
    <t>Columns I:M calculate the historic volatility as at 2018</t>
  </si>
  <si>
    <t>Columns R:AC calculate the value of each tranche of call option</t>
  </si>
  <si>
    <t>Cell AD48 contains the final value in $</t>
  </si>
  <si>
    <t>Source: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</si>
</sst>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-* #,##0_-;\-* #,##0_-;_-* &quot;-&quot;??_-;_-@_-"/>
    <numFmt numFmtId="165" formatCode="0.0000"/>
    <numFmt numFmtId="166" formatCode="0.0%"/>
    <numFmt numFmtId="167" formatCode="_-* #,##0.0_-;\-* #,##0.0_-;_-* &quot;-&quot;??_-;_-@_-"/>
  </numFmts>
  <fonts count="1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212529"/>
      <name val="Calibri"/>
      <family val="2"/>
    </font>
    <font>
      <sz val="10"/>
      <color rgb="FF212529"/>
      <name val="Calibri"/>
      <family val="2"/>
    </font>
    <font>
      <sz val="10"/>
      <color rgb="FFFA4444"/>
      <name val="Calibri"/>
      <family val="2"/>
    </font>
    <font>
      <sz val="10"/>
      <color rgb="FF05B169"/>
      <name val="Calibri"/>
      <family val="2"/>
    </font>
    <font>
      <b/>
      <sz val="8"/>
      <color indexed="81"/>
      <name val="Tahoma"/>
      <family val="2"/>
    </font>
    <font>
      <i/>
      <sz val="10"/>
      <color theme="1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b/>
      <sz val="10"/>
      <name val="Calibri"/>
      <family val="2"/>
    </font>
    <font>
      <b/>
      <i/>
      <sz val="10"/>
      <name val="Calibri"/>
      <family val="2"/>
    </font>
    <font>
      <sz val="10"/>
      <name val="Calibri"/>
      <family val="2"/>
    </font>
    <font>
      <b/>
      <i/>
      <sz val="10"/>
      <color indexed="12"/>
      <name val="Calibri"/>
      <family val="2"/>
    </font>
    <font>
      <b/>
      <sz val="10"/>
      <color indexed="12"/>
      <name val="Calibri"/>
      <family val="2"/>
    </font>
    <font>
      <b/>
      <i/>
      <sz val="10"/>
      <color theme="1"/>
      <name val="Calibri"/>
      <family val="2"/>
      <scheme val="minor"/>
    </font>
    <font>
      <sz val="10"/>
      <color rgb="FF040C28"/>
      <name val="Calibri"/>
      <family val="2"/>
    </font>
    <font>
      <sz val="10"/>
      <color rgb="FF000000"/>
      <name val="Calibri"/>
      <family val="2"/>
    </font>
    <font>
      <b/>
      <sz val="10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 style="medium">
        <color rgb="FFDEE2E6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0" xfId="0" applyFont="1" applyFill="1"/>
    <xf numFmtId="0" fontId="3" fillId="0" borderId="0" xfId="0" applyFont="1" applyAlignment="1">
      <alignment horizontal="center" vertical="top"/>
    </xf>
    <xf numFmtId="0" fontId="4" fillId="0" borderId="1" xfId="0" applyFont="1" applyBorder="1" applyAlignment="1">
      <alignment vertical="top"/>
    </xf>
    <xf numFmtId="10" fontId="5" fillId="0" borderId="1" xfId="0" applyNumberFormat="1" applyFont="1" applyBorder="1" applyAlignment="1">
      <alignment vertical="top"/>
    </xf>
    <xf numFmtId="10" fontId="6" fillId="0" borderId="1" xfId="0" applyNumberFormat="1" applyFont="1" applyBorder="1" applyAlignment="1">
      <alignment vertical="top"/>
    </xf>
    <xf numFmtId="0" fontId="4" fillId="3" borderId="1" xfId="0" applyFont="1" applyFill="1" applyBorder="1" applyAlignment="1">
      <alignment vertical="top"/>
    </xf>
    <xf numFmtId="164" fontId="1" fillId="0" borderId="0" xfId="0" applyNumberFormat="1" applyFont="1"/>
    <xf numFmtId="9" fontId="1" fillId="0" borderId="0" xfId="0" applyNumberFormat="1" applyFont="1"/>
    <xf numFmtId="166" fontId="1" fillId="0" borderId="0" xfId="0" applyNumberFormat="1" applyFont="1"/>
    <xf numFmtId="0" fontId="8" fillId="0" borderId="0" xfId="0" applyFont="1"/>
    <xf numFmtId="0" fontId="1" fillId="4" borderId="0" xfId="0" applyFont="1" applyFill="1"/>
    <xf numFmtId="164" fontId="2" fillId="0" borderId="0" xfId="0" applyNumberFormat="1" applyFont="1"/>
    <xf numFmtId="0" fontId="9" fillId="0" borderId="0" xfId="0" applyFont="1"/>
    <xf numFmtId="10" fontId="1" fillId="0" borderId="0" xfId="0" applyNumberFormat="1" applyFont="1"/>
    <xf numFmtId="165" fontId="1" fillId="0" borderId="0" xfId="0" applyNumberFormat="1" applyFont="1"/>
    <xf numFmtId="0" fontId="10" fillId="0" borderId="0" xfId="0" applyFont="1"/>
    <xf numFmtId="165" fontId="14" fillId="0" borderId="0" xfId="0" applyNumberFormat="1" applyFont="1"/>
    <xf numFmtId="167" fontId="1" fillId="0" borderId="0" xfId="0" applyNumberFormat="1" applyFont="1"/>
    <xf numFmtId="167" fontId="2" fillId="0" borderId="0" xfId="0" applyNumberFormat="1" applyFont="1"/>
    <xf numFmtId="0" fontId="2" fillId="0" borderId="0" xfId="0" applyFont="1" applyAlignment="1">
      <alignment horizontal="right"/>
    </xf>
    <xf numFmtId="43" fontId="1" fillId="0" borderId="0" xfId="0" applyNumberFormat="1" applyFont="1"/>
    <xf numFmtId="166" fontId="1" fillId="3" borderId="0" xfId="0" applyNumberFormat="1" applyFont="1" applyFill="1"/>
    <xf numFmtId="10" fontId="1" fillId="4" borderId="0" xfId="0" applyNumberFormat="1" applyFont="1" applyFill="1"/>
    <xf numFmtId="0" fontId="3" fillId="0" borderId="0" xfId="0" applyFont="1" applyAlignment="1">
      <alignment horizontal="left" vertical="top"/>
    </xf>
    <xf numFmtId="0" fontId="1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12" fillId="0" borderId="0" xfId="0" applyFont="1" applyAlignment="1">
      <alignment horizontal="right"/>
    </xf>
    <xf numFmtId="0" fontId="13" fillId="0" borderId="0" xfId="0" applyFont="1" applyAlignment="1">
      <alignment horizontal="right"/>
    </xf>
    <xf numFmtId="2" fontId="1" fillId="0" borderId="0" xfId="0" applyNumberFormat="1" applyFont="1"/>
    <xf numFmtId="164" fontId="15" fillId="0" borderId="0" xfId="0" applyNumberFormat="1" applyFont="1"/>
    <xf numFmtId="3" fontId="16" fillId="0" borderId="0" xfId="0" applyNumberFormat="1" applyFont="1"/>
    <xf numFmtId="43" fontId="1" fillId="5" borderId="0" xfId="0" applyNumberFormat="1" applyFont="1" applyFill="1"/>
    <xf numFmtId="0" fontId="17" fillId="0" borderId="0" xfId="0" applyFont="1"/>
    <xf numFmtId="167" fontId="1" fillId="4" borderId="0" xfId="0" applyNumberFormat="1" applyFont="1" applyFill="1"/>
    <xf numFmtId="166" fontId="1" fillId="4" borderId="0" xfId="0" applyNumberFormat="1" applyFont="1" applyFill="1"/>
    <xf numFmtId="9" fontId="1" fillId="3" borderId="0" xfId="0" applyNumberFormat="1" applyFont="1" applyFill="1"/>
    <xf numFmtId="0" fontId="18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C8FF35-7430-4E39-BB08-6A7C9FD29102}">
  <dimension ref="B8:AE63"/>
  <sheetViews>
    <sheetView tabSelected="1" zoomScale="85" zoomScaleNormal="85" workbookViewId="0"/>
  </sheetViews>
  <sheetFormatPr defaultColWidth="9.1796875" defaultRowHeight="13" x14ac:dyDescent="0.3"/>
  <cols>
    <col min="1" max="1" width="3.453125" style="1" customWidth="1"/>
    <col min="2" max="2" width="15.54296875" style="1" bestFit="1" customWidth="1"/>
    <col min="3" max="3" width="10" style="1" bestFit="1" customWidth="1"/>
    <col min="4" max="4" width="9.1796875" style="1"/>
    <col min="5" max="5" width="12" style="1" bestFit="1" customWidth="1"/>
    <col min="6" max="7" width="9.1796875" style="1"/>
    <col min="8" max="8" width="13.81640625" style="1" bestFit="1" customWidth="1"/>
    <col min="9" max="9" width="12.1796875" style="1" bestFit="1" customWidth="1"/>
    <col min="10" max="10" width="12.1796875" style="1" customWidth="1"/>
    <col min="11" max="12" width="9.1796875" style="1"/>
    <col min="13" max="13" width="12.1796875" style="1" bestFit="1" customWidth="1"/>
    <col min="14" max="14" width="12" style="1" bestFit="1" customWidth="1"/>
    <col min="15" max="15" width="9.1796875" style="1"/>
    <col min="16" max="16" width="38.54296875" style="1" bestFit="1" customWidth="1"/>
    <col min="17" max="17" width="12.7265625" style="1" bestFit="1" customWidth="1"/>
    <col min="18" max="18" width="14.7265625" style="1" bestFit="1" customWidth="1"/>
    <col min="19" max="19" width="13.7265625" style="1" bestFit="1" customWidth="1"/>
    <col min="20" max="24" width="14.7265625" style="1" bestFit="1" customWidth="1"/>
    <col min="25" max="28" width="15.7265625" style="1" bestFit="1" customWidth="1"/>
    <col min="29" max="29" width="17.1796875" style="1" bestFit="1" customWidth="1"/>
    <col min="30" max="30" width="14.7265625" style="1" bestFit="1" customWidth="1"/>
    <col min="31" max="16384" width="9.1796875" style="1"/>
  </cols>
  <sheetData>
    <row r="8" spans="2:29" x14ac:dyDescent="0.3">
      <c r="H8" s="1" t="s">
        <v>55</v>
      </c>
      <c r="I8" s="25">
        <v>0.45350000000000001</v>
      </c>
    </row>
    <row r="9" spans="2:29" x14ac:dyDescent="0.3">
      <c r="P9" s="1" t="s">
        <v>39</v>
      </c>
    </row>
    <row r="10" spans="2:29" x14ac:dyDescent="0.3">
      <c r="J10" s="10">
        <f>_xlfn.STDEV.P(J16:J29)</f>
        <v>0.72792415241273345</v>
      </c>
      <c r="Q10" s="1" t="s">
        <v>38</v>
      </c>
    </row>
    <row r="11" spans="2:29" x14ac:dyDescent="0.3">
      <c r="B11" s="1" t="s">
        <v>67</v>
      </c>
      <c r="C11" s="12" t="s">
        <v>37</v>
      </c>
      <c r="J11" s="11">
        <f>_xlfn.STDEV.P(J23:J25)</f>
        <v>0.14894593688723098</v>
      </c>
      <c r="K11" s="1" t="s">
        <v>57</v>
      </c>
    </row>
    <row r="12" spans="2:29" x14ac:dyDescent="0.3">
      <c r="J12" s="39">
        <f>_xlfn.STDEV.P(J23:J29)</f>
        <v>0.47904007970838669</v>
      </c>
      <c r="K12" s="12" t="s">
        <v>52</v>
      </c>
      <c r="L12" s="12"/>
      <c r="R12" s="23">
        <f t="shared" ref="R12:AB12" si="0">R14-R13</f>
        <v>12.678445360820007</v>
      </c>
      <c r="S12" s="23">
        <f t="shared" si="0"/>
        <v>28.421518408678949</v>
      </c>
      <c r="T12" s="23">
        <f t="shared" si="0"/>
        <v>44.164591456537892</v>
      </c>
      <c r="U12" s="23">
        <f t="shared" si="0"/>
        <v>59.907664504396834</v>
      </c>
      <c r="V12" s="23">
        <f t="shared" si="0"/>
        <v>75.650737552255777</v>
      </c>
      <c r="W12" s="23">
        <f t="shared" si="0"/>
        <v>91.393810600114719</v>
      </c>
      <c r="X12" s="23">
        <f t="shared" si="0"/>
        <v>107.13688364797366</v>
      </c>
      <c r="Y12" s="23">
        <f t="shared" si="0"/>
        <v>122.87995669583259</v>
      </c>
      <c r="Z12" s="23">
        <f t="shared" si="0"/>
        <v>138.62302974369155</v>
      </c>
      <c r="AA12" s="23">
        <f t="shared" si="0"/>
        <v>154.36610279155047</v>
      </c>
      <c r="AB12" s="23">
        <f t="shared" si="0"/>
        <v>170.10917583940943</v>
      </c>
      <c r="AC12" s="23">
        <f>AC14-AC13</f>
        <v>185.85224888726836</v>
      </c>
    </row>
    <row r="13" spans="2:29" x14ac:dyDescent="0.3">
      <c r="J13" s="1">
        <f>_xlfn.STDEV.P(J17:J29)</f>
        <v>0.73027136907694779</v>
      </c>
      <c r="Q13" s="22" t="s">
        <v>49</v>
      </c>
      <c r="R13" s="23">
        <f>$K$22</f>
        <v>18.807700734897878</v>
      </c>
      <c r="S13" s="23">
        <f t="shared" ref="S13:AC13" si="1">$R$19</f>
        <v>18.807700734897878</v>
      </c>
      <c r="T13" s="23">
        <f t="shared" si="1"/>
        <v>18.807700734897878</v>
      </c>
      <c r="U13" s="23">
        <f t="shared" si="1"/>
        <v>18.807700734897878</v>
      </c>
      <c r="V13" s="23">
        <f t="shared" si="1"/>
        <v>18.807700734897878</v>
      </c>
      <c r="W13" s="23">
        <f t="shared" si="1"/>
        <v>18.807700734897878</v>
      </c>
      <c r="X13" s="23">
        <f t="shared" si="1"/>
        <v>18.807700734897878</v>
      </c>
      <c r="Y13" s="23">
        <f t="shared" si="1"/>
        <v>18.807700734897878</v>
      </c>
      <c r="Z13" s="23">
        <f t="shared" si="1"/>
        <v>18.807700734897878</v>
      </c>
      <c r="AA13" s="23">
        <f t="shared" si="1"/>
        <v>18.807700734897878</v>
      </c>
      <c r="AB13" s="23">
        <f t="shared" si="1"/>
        <v>18.807700734897878</v>
      </c>
      <c r="AC13" s="23">
        <f t="shared" si="1"/>
        <v>18.807700734897878</v>
      </c>
    </row>
    <row r="14" spans="2:29" x14ac:dyDescent="0.3">
      <c r="Q14" s="22" t="s">
        <v>42</v>
      </c>
      <c r="R14" s="9">
        <f t="shared" ref="R14:AC14" si="2">R15*1000000000/$Q$51</f>
        <v>31.486146095717885</v>
      </c>
      <c r="S14" s="9">
        <f t="shared" si="2"/>
        <v>47.229219143576827</v>
      </c>
      <c r="T14" s="9">
        <f t="shared" si="2"/>
        <v>62.97229219143577</v>
      </c>
      <c r="U14" s="9">
        <f t="shared" si="2"/>
        <v>78.715365239294712</v>
      </c>
      <c r="V14" s="9">
        <f t="shared" si="2"/>
        <v>94.458438287153655</v>
      </c>
      <c r="W14" s="9">
        <f t="shared" si="2"/>
        <v>110.2015113350126</v>
      </c>
      <c r="X14" s="9">
        <f t="shared" si="2"/>
        <v>125.94458438287154</v>
      </c>
      <c r="Y14" s="9">
        <f t="shared" si="2"/>
        <v>141.68765743073047</v>
      </c>
      <c r="Z14" s="9">
        <f t="shared" si="2"/>
        <v>157.43073047858942</v>
      </c>
      <c r="AA14" s="9">
        <f t="shared" si="2"/>
        <v>173.17380352644835</v>
      </c>
      <c r="AB14" s="9">
        <f t="shared" si="2"/>
        <v>188.91687657430731</v>
      </c>
      <c r="AC14" s="9">
        <f t="shared" si="2"/>
        <v>204.65994962216624</v>
      </c>
    </row>
    <row r="15" spans="2:29" ht="13.5" thickBot="1" x14ac:dyDescent="0.35">
      <c r="B15" s="4" t="s">
        <v>0</v>
      </c>
      <c r="C15" s="26" t="s">
        <v>36</v>
      </c>
      <c r="D15" s="4"/>
      <c r="H15" s="2" t="s">
        <v>16</v>
      </c>
      <c r="I15" s="2" t="s">
        <v>28</v>
      </c>
      <c r="J15" s="2" t="s">
        <v>58</v>
      </c>
      <c r="K15" s="2" t="s">
        <v>42</v>
      </c>
      <c r="L15" s="2"/>
      <c r="M15" s="2" t="s">
        <v>35</v>
      </c>
      <c r="Q15" s="22" t="s">
        <v>30</v>
      </c>
      <c r="R15" s="13">
        <v>100</v>
      </c>
      <c r="S15" s="13">
        <f>R15+50</f>
        <v>150</v>
      </c>
      <c r="T15" s="13">
        <f t="shared" ref="T15:AC15" si="3">S15+50</f>
        <v>200</v>
      </c>
      <c r="U15" s="13">
        <f t="shared" si="3"/>
        <v>250</v>
      </c>
      <c r="V15" s="13">
        <f t="shared" si="3"/>
        <v>300</v>
      </c>
      <c r="W15" s="13">
        <f t="shared" si="3"/>
        <v>350</v>
      </c>
      <c r="X15" s="13">
        <f t="shared" si="3"/>
        <v>400</v>
      </c>
      <c r="Y15" s="13">
        <f t="shared" si="3"/>
        <v>450</v>
      </c>
      <c r="Z15" s="13">
        <f t="shared" si="3"/>
        <v>500</v>
      </c>
      <c r="AA15" s="13">
        <f t="shared" si="3"/>
        <v>550</v>
      </c>
      <c r="AB15" s="13">
        <f t="shared" si="3"/>
        <v>600</v>
      </c>
      <c r="AC15" s="13">
        <f t="shared" si="3"/>
        <v>650</v>
      </c>
    </row>
    <row r="16" spans="2:29" ht="13.5" thickBot="1" x14ac:dyDescent="0.35">
      <c r="B16" s="5">
        <v>2024</v>
      </c>
      <c r="C16" s="5" t="s">
        <v>1</v>
      </c>
      <c r="D16" s="6"/>
      <c r="E16" s="1" t="str">
        <f>SUBSTITUTE(C16,"B","")</f>
        <v xml:space="preserve">$596.47 </v>
      </c>
      <c r="F16" s="1" t="str">
        <f>SUBSTITUTE(E16,"T","")</f>
        <v xml:space="preserve">$596.47 </v>
      </c>
      <c r="G16" s="1" t="str">
        <f>SUBSTITUTE(F16,"$","")</f>
        <v xml:space="preserve">596.47 </v>
      </c>
      <c r="H16" s="9">
        <f>G16+0</f>
        <v>596.47</v>
      </c>
      <c r="I16" s="11">
        <f t="shared" ref="I16:I28" si="4">H16/H17</f>
        <v>0.75513046120345872</v>
      </c>
      <c r="J16" s="11">
        <f>LN(I16)</f>
        <v>-0.28086474836470088</v>
      </c>
      <c r="M16" s="10">
        <f t="shared" ref="M16:M18" si="5">(H16/$H$22)^(1/(B16-$B$22))-1</f>
        <v>0.47705169611632292</v>
      </c>
      <c r="Q16" s="22" t="s">
        <v>29</v>
      </c>
      <c r="R16" s="13">
        <v>1</v>
      </c>
      <c r="S16" s="13">
        <f>R16+1</f>
        <v>2</v>
      </c>
      <c r="T16" s="13">
        <f t="shared" ref="T16:AC16" si="6">S16+1</f>
        <v>3</v>
      </c>
      <c r="U16" s="13">
        <f t="shared" si="6"/>
        <v>4</v>
      </c>
      <c r="V16" s="13">
        <f t="shared" si="6"/>
        <v>5</v>
      </c>
      <c r="W16" s="13">
        <f t="shared" si="6"/>
        <v>6</v>
      </c>
      <c r="X16" s="13">
        <f t="shared" si="6"/>
        <v>7</v>
      </c>
      <c r="Y16" s="13">
        <f t="shared" si="6"/>
        <v>8</v>
      </c>
      <c r="Z16" s="13">
        <f t="shared" si="6"/>
        <v>9</v>
      </c>
      <c r="AA16" s="13">
        <f t="shared" si="6"/>
        <v>10</v>
      </c>
      <c r="AB16" s="13">
        <f t="shared" si="6"/>
        <v>11</v>
      </c>
      <c r="AC16" s="13">
        <f t="shared" si="6"/>
        <v>12</v>
      </c>
    </row>
    <row r="17" spans="2:29" ht="13.5" thickBot="1" x14ac:dyDescent="0.35">
      <c r="B17" s="5">
        <v>2023</v>
      </c>
      <c r="C17" s="5" t="s">
        <v>2</v>
      </c>
      <c r="D17" s="7"/>
      <c r="E17" s="1" t="str">
        <f t="shared" ref="E17:E30" si="7">SUBSTITUTE(C17,"B","")</f>
        <v xml:space="preserve">$789.89 </v>
      </c>
      <c r="F17" s="1" t="str">
        <f t="shared" ref="F17:F30" si="8">SUBSTITUTE(E17,"T","")</f>
        <v xml:space="preserve">$789.89 </v>
      </c>
      <c r="G17" s="1" t="str">
        <f t="shared" ref="G17:G30" si="9">SUBSTITUTE(F17,"$","")</f>
        <v xml:space="preserve">789.89 </v>
      </c>
      <c r="H17" s="9">
        <f t="shared" ref="H17:H30" si="10">G17+0</f>
        <v>789.89</v>
      </c>
      <c r="I17" s="11">
        <f t="shared" si="4"/>
        <v>2.0307221636630071</v>
      </c>
      <c r="J17" s="11">
        <f t="shared" ref="J17:J29" si="11">LN(I17)</f>
        <v>0.70839147543801795</v>
      </c>
      <c r="M17" s="10">
        <f t="shared" si="5"/>
        <v>0.68915863204302963</v>
      </c>
      <c r="P17" s="28" t="s">
        <v>17</v>
      </c>
      <c r="Q17" s="15"/>
    </row>
    <row r="18" spans="2:29" ht="13.5" thickBot="1" x14ac:dyDescent="0.35">
      <c r="B18" s="5">
        <v>2022</v>
      </c>
      <c r="C18" s="5" t="s">
        <v>3</v>
      </c>
      <c r="D18" s="6"/>
      <c r="E18" s="1" t="str">
        <f t="shared" si="7"/>
        <v xml:space="preserve">$388.97 </v>
      </c>
      <c r="F18" s="1" t="str">
        <f t="shared" si="8"/>
        <v xml:space="preserve">$388.97 </v>
      </c>
      <c r="G18" s="1" t="str">
        <f t="shared" si="9"/>
        <v xml:space="preserve">388.97 </v>
      </c>
      <c r="H18" s="9">
        <f t="shared" si="10"/>
        <v>388.97</v>
      </c>
      <c r="I18" s="11">
        <f t="shared" si="4"/>
        <v>0.36660697455230917</v>
      </c>
      <c r="J18" s="11">
        <f t="shared" si="11"/>
        <v>-1.0034649187921225</v>
      </c>
      <c r="M18" s="10">
        <f t="shared" si="5"/>
        <v>0.61315247543022622</v>
      </c>
      <c r="P18" s="29" t="s">
        <v>18</v>
      </c>
      <c r="Q18" s="15">
        <f t="shared" ref="Q18:Q29" si="12">Q19-1</f>
        <v>18</v>
      </c>
      <c r="R18" s="18"/>
      <c r="S18" s="18"/>
      <c r="T18" s="18"/>
      <c r="U18" s="18"/>
      <c r="V18" s="18"/>
    </row>
    <row r="19" spans="2:29" ht="13.5" thickBot="1" x14ac:dyDescent="0.35">
      <c r="B19" s="5">
        <v>2021</v>
      </c>
      <c r="C19" s="5" t="s">
        <v>4</v>
      </c>
      <c r="D19" s="7"/>
      <c r="E19" s="1" t="str">
        <f t="shared" si="7"/>
        <v>$1.061 T</v>
      </c>
      <c r="F19" s="1" t="str">
        <f t="shared" si="8"/>
        <v xml:space="preserve">$1.061 </v>
      </c>
      <c r="G19" s="1" t="str">
        <f t="shared" si="9"/>
        <v xml:space="preserve">1.061 </v>
      </c>
      <c r="H19" s="9">
        <v>1061</v>
      </c>
      <c r="I19" s="11">
        <f t="shared" si="4"/>
        <v>1.5861862759754821</v>
      </c>
      <c r="J19" s="11">
        <f t="shared" si="11"/>
        <v>0.46133256648962079</v>
      </c>
      <c r="M19" s="10">
        <f>(H19/$H$22)^(1/(B19-$B$22))-1</f>
        <v>1.6434249466318662</v>
      </c>
      <c r="P19" s="27" t="s">
        <v>19</v>
      </c>
      <c r="Q19" s="15">
        <f t="shared" si="12"/>
        <v>19</v>
      </c>
      <c r="R19" s="23">
        <f>$K$22</f>
        <v>18.807700734897878</v>
      </c>
      <c r="S19" s="23">
        <f t="shared" ref="S19:AC19" si="13">$K$22</f>
        <v>18.807700734897878</v>
      </c>
      <c r="T19" s="23">
        <f t="shared" si="13"/>
        <v>18.807700734897878</v>
      </c>
      <c r="U19" s="23">
        <f t="shared" si="13"/>
        <v>18.807700734897878</v>
      </c>
      <c r="V19" s="23">
        <f t="shared" si="13"/>
        <v>18.807700734897878</v>
      </c>
      <c r="W19" s="23">
        <f t="shared" si="13"/>
        <v>18.807700734897878</v>
      </c>
      <c r="X19" s="23">
        <f t="shared" si="13"/>
        <v>18.807700734897878</v>
      </c>
      <c r="Y19" s="23">
        <f t="shared" si="13"/>
        <v>18.807700734897878</v>
      </c>
      <c r="Z19" s="23">
        <f t="shared" si="13"/>
        <v>18.807700734897878</v>
      </c>
      <c r="AA19" s="23">
        <f t="shared" si="13"/>
        <v>18.807700734897878</v>
      </c>
      <c r="AB19" s="23">
        <f t="shared" si="13"/>
        <v>18.807700734897878</v>
      </c>
      <c r="AC19" s="23">
        <f t="shared" si="13"/>
        <v>18.807700734897878</v>
      </c>
    </row>
    <row r="20" spans="2:29" ht="13.5" thickBot="1" x14ac:dyDescent="0.35">
      <c r="B20" s="5">
        <v>2020</v>
      </c>
      <c r="C20" s="5" t="s">
        <v>5</v>
      </c>
      <c r="D20" s="7"/>
      <c r="E20" s="1" t="str">
        <f t="shared" si="7"/>
        <v xml:space="preserve">$668.90 </v>
      </c>
      <c r="F20" s="1" t="str">
        <f t="shared" si="8"/>
        <v xml:space="preserve">$668.90 </v>
      </c>
      <c r="G20" s="1" t="str">
        <f t="shared" si="9"/>
        <v xml:space="preserve">668.90 </v>
      </c>
      <c r="H20" s="9">
        <f t="shared" si="10"/>
        <v>668.9</v>
      </c>
      <c r="I20" s="11">
        <f t="shared" si="4"/>
        <v>8.83502839783384</v>
      </c>
      <c r="J20" s="11">
        <f t="shared" si="11"/>
        <v>2.1787243200091471</v>
      </c>
      <c r="M20" s="10">
        <f t="shared" ref="M20:M22" si="14">(H20/$H$22)^(1/(B20-$B$22))-1</f>
        <v>2.4125056756102872</v>
      </c>
      <c r="P20" s="27" t="s">
        <v>20</v>
      </c>
      <c r="Q20" s="15">
        <f t="shared" si="12"/>
        <v>20</v>
      </c>
      <c r="R20" s="23">
        <f>R14</f>
        <v>31.486146095717885</v>
      </c>
      <c r="S20" s="23">
        <f t="shared" ref="S20:AC20" si="15">S14</f>
        <v>47.229219143576827</v>
      </c>
      <c r="T20" s="23">
        <f t="shared" si="15"/>
        <v>62.97229219143577</v>
      </c>
      <c r="U20" s="23">
        <f t="shared" si="15"/>
        <v>78.715365239294712</v>
      </c>
      <c r="V20" s="23">
        <f t="shared" si="15"/>
        <v>94.458438287153655</v>
      </c>
      <c r="W20" s="23">
        <f t="shared" si="15"/>
        <v>110.2015113350126</v>
      </c>
      <c r="X20" s="23">
        <f t="shared" si="15"/>
        <v>125.94458438287154</v>
      </c>
      <c r="Y20" s="23">
        <f t="shared" si="15"/>
        <v>141.68765743073047</v>
      </c>
      <c r="Z20" s="23">
        <f t="shared" si="15"/>
        <v>157.43073047858942</v>
      </c>
      <c r="AA20" s="23">
        <f t="shared" si="15"/>
        <v>173.17380352644835</v>
      </c>
      <c r="AB20" s="23">
        <f t="shared" si="15"/>
        <v>188.91687657430731</v>
      </c>
      <c r="AC20" s="23">
        <f t="shared" si="15"/>
        <v>204.65994962216624</v>
      </c>
    </row>
    <row r="21" spans="2:29" ht="13.5" thickBot="1" x14ac:dyDescent="0.35">
      <c r="B21" s="5">
        <v>2019</v>
      </c>
      <c r="C21" s="5" t="s">
        <v>6</v>
      </c>
      <c r="D21" s="7"/>
      <c r="E21" s="1" t="str">
        <f t="shared" si="7"/>
        <v xml:space="preserve">$75.71 </v>
      </c>
      <c r="F21" s="1" t="str">
        <f t="shared" si="8"/>
        <v xml:space="preserve">$75.71 </v>
      </c>
      <c r="G21" s="1" t="str">
        <f t="shared" si="9"/>
        <v xml:space="preserve">75.71 </v>
      </c>
      <c r="H21" s="9">
        <f t="shared" si="10"/>
        <v>75.709999999999994</v>
      </c>
      <c r="I21" s="11">
        <f t="shared" si="4"/>
        <v>1.3180710306406684</v>
      </c>
      <c r="J21" s="11">
        <f t="shared" si="11"/>
        <v>0.27616932737524647</v>
      </c>
      <c r="M21" s="10">
        <f t="shared" si="14"/>
        <v>0.31807103064066844</v>
      </c>
      <c r="P21" s="27" t="s">
        <v>21</v>
      </c>
      <c r="Q21" s="15">
        <f t="shared" si="12"/>
        <v>21</v>
      </c>
      <c r="R21" s="1">
        <v>10</v>
      </c>
      <c r="S21" s="1">
        <v>10</v>
      </c>
      <c r="T21" s="1">
        <v>10</v>
      </c>
      <c r="U21" s="1">
        <v>10</v>
      </c>
      <c r="V21" s="1">
        <v>10</v>
      </c>
      <c r="W21" s="1">
        <v>10</v>
      </c>
      <c r="X21" s="1">
        <v>10</v>
      </c>
      <c r="Y21" s="1">
        <v>10</v>
      </c>
      <c r="Z21" s="1">
        <v>10</v>
      </c>
      <c r="AA21" s="1">
        <v>10</v>
      </c>
      <c r="AB21" s="1">
        <v>10</v>
      </c>
      <c r="AC21" s="1">
        <v>10</v>
      </c>
    </row>
    <row r="22" spans="2:29" ht="13.5" thickBot="1" x14ac:dyDescent="0.35">
      <c r="B22" s="8">
        <v>2018</v>
      </c>
      <c r="C22" s="8" t="s">
        <v>7</v>
      </c>
      <c r="D22" s="7"/>
      <c r="E22" s="1" t="str">
        <f t="shared" si="7"/>
        <v xml:space="preserve">$57.44 </v>
      </c>
      <c r="F22" s="1" t="str">
        <f t="shared" si="8"/>
        <v xml:space="preserve">$57.44 </v>
      </c>
      <c r="G22" s="1" t="str">
        <f t="shared" si="9"/>
        <v xml:space="preserve">57.44 </v>
      </c>
      <c r="H22" s="9">
        <f t="shared" si="10"/>
        <v>57.44</v>
      </c>
      <c r="I22" s="11">
        <f t="shared" si="4"/>
        <v>1.0978593272171253</v>
      </c>
      <c r="J22" s="11">
        <f t="shared" si="11"/>
        <v>9.336221759102542E-2</v>
      </c>
      <c r="K22" s="35">
        <f>Q56/Q55</f>
        <v>18.807700734897878</v>
      </c>
      <c r="L22" s="35">
        <f>K22*$Q$55</f>
        <v>350.02</v>
      </c>
      <c r="M22" s="10" t="e">
        <f t="shared" si="14"/>
        <v>#DIV/0!</v>
      </c>
      <c r="P22" s="27" t="s">
        <v>22</v>
      </c>
      <c r="Q22" s="15">
        <f t="shared" si="12"/>
        <v>22</v>
      </c>
      <c r="R22" s="25">
        <v>2.64E-2</v>
      </c>
      <c r="S22" s="16">
        <f>R22</f>
        <v>2.64E-2</v>
      </c>
      <c r="T22" s="16">
        <f t="shared" ref="T22:AC22" si="16">S22</f>
        <v>2.64E-2</v>
      </c>
      <c r="U22" s="16">
        <f t="shared" si="16"/>
        <v>2.64E-2</v>
      </c>
      <c r="V22" s="16">
        <f t="shared" si="16"/>
        <v>2.64E-2</v>
      </c>
      <c r="W22" s="16">
        <f t="shared" si="16"/>
        <v>2.64E-2</v>
      </c>
      <c r="X22" s="16">
        <f t="shared" si="16"/>
        <v>2.64E-2</v>
      </c>
      <c r="Y22" s="16">
        <f t="shared" si="16"/>
        <v>2.64E-2</v>
      </c>
      <c r="Z22" s="16">
        <f t="shared" si="16"/>
        <v>2.64E-2</v>
      </c>
      <c r="AA22" s="16">
        <f t="shared" si="16"/>
        <v>2.64E-2</v>
      </c>
      <c r="AB22" s="16">
        <f t="shared" si="16"/>
        <v>2.64E-2</v>
      </c>
      <c r="AC22" s="16">
        <f t="shared" si="16"/>
        <v>2.64E-2</v>
      </c>
    </row>
    <row r="23" spans="2:29" ht="13.5" thickBot="1" x14ac:dyDescent="0.35">
      <c r="B23" s="5">
        <v>2017</v>
      </c>
      <c r="C23" s="5" t="s">
        <v>8</v>
      </c>
      <c r="D23" s="7"/>
      <c r="E23" s="1" t="str">
        <f t="shared" si="7"/>
        <v xml:space="preserve">$52.32 </v>
      </c>
      <c r="F23" s="1" t="str">
        <f t="shared" si="8"/>
        <v xml:space="preserve">$52.32 </v>
      </c>
      <c r="G23" s="1" t="str">
        <f t="shared" si="9"/>
        <v xml:space="preserve">52.32 </v>
      </c>
      <c r="H23" s="9">
        <f t="shared" si="10"/>
        <v>52.32</v>
      </c>
      <c r="I23" s="24">
        <f t="shared" si="4"/>
        <v>1.5200464846019754</v>
      </c>
      <c r="J23" s="11">
        <f t="shared" si="11"/>
        <v>0.41874091636554978</v>
      </c>
      <c r="K23" s="35">
        <f>H23*1000000000/$Q$51</f>
        <v>16.473551637279598</v>
      </c>
      <c r="L23" s="35">
        <f>K23*$Q$55</f>
        <v>306.58040689586255</v>
      </c>
      <c r="P23" s="27" t="s">
        <v>33</v>
      </c>
      <c r="Q23" s="15">
        <f t="shared" si="12"/>
        <v>23</v>
      </c>
      <c r="R23" s="25">
        <f>IF($R$63=1,$J$12,$I$8)</f>
        <v>0.47904007970838669</v>
      </c>
      <c r="S23" s="16">
        <f>R23</f>
        <v>0.47904007970838669</v>
      </c>
      <c r="T23" s="16">
        <f t="shared" ref="T23:AC23" si="17">S23</f>
        <v>0.47904007970838669</v>
      </c>
      <c r="U23" s="16">
        <f t="shared" si="17"/>
        <v>0.47904007970838669</v>
      </c>
      <c r="V23" s="16">
        <f t="shared" si="17"/>
        <v>0.47904007970838669</v>
      </c>
      <c r="W23" s="16">
        <f t="shared" si="17"/>
        <v>0.47904007970838669</v>
      </c>
      <c r="X23" s="16">
        <f t="shared" si="17"/>
        <v>0.47904007970838669</v>
      </c>
      <c r="Y23" s="16">
        <f t="shared" si="17"/>
        <v>0.47904007970838669</v>
      </c>
      <c r="Z23" s="16">
        <f t="shared" si="17"/>
        <v>0.47904007970838669</v>
      </c>
      <c r="AA23" s="16">
        <f t="shared" si="17"/>
        <v>0.47904007970838669</v>
      </c>
      <c r="AB23" s="16">
        <f t="shared" si="17"/>
        <v>0.47904007970838669</v>
      </c>
      <c r="AC23" s="16">
        <f t="shared" si="17"/>
        <v>0.47904007970838669</v>
      </c>
    </row>
    <row r="24" spans="2:29" ht="13.5" thickBot="1" x14ac:dyDescent="0.35">
      <c r="B24" s="5">
        <v>2016</v>
      </c>
      <c r="C24" s="5" t="s">
        <v>9</v>
      </c>
      <c r="D24" s="7"/>
      <c r="E24" s="1" t="str">
        <f t="shared" si="7"/>
        <v xml:space="preserve">$34.42 </v>
      </c>
      <c r="F24" s="1" t="str">
        <f t="shared" si="8"/>
        <v xml:space="preserve">$34.42 </v>
      </c>
      <c r="G24" s="1" t="str">
        <f t="shared" si="9"/>
        <v xml:space="preserve">34.42 </v>
      </c>
      <c r="H24" s="9">
        <f t="shared" si="10"/>
        <v>34.42</v>
      </c>
      <c r="I24" s="24">
        <f t="shared" si="4"/>
        <v>1.0913126188966393</v>
      </c>
      <c r="J24" s="11">
        <f t="shared" si="11"/>
        <v>8.7381209248501165E-2</v>
      </c>
      <c r="P24" s="27"/>
      <c r="Q24" s="15">
        <f t="shared" si="12"/>
        <v>24</v>
      </c>
    </row>
    <row r="25" spans="2:29" ht="13.5" thickBot="1" x14ac:dyDescent="0.35">
      <c r="B25" s="5">
        <v>2015</v>
      </c>
      <c r="C25" s="5" t="s">
        <v>10</v>
      </c>
      <c r="D25" s="7"/>
      <c r="E25" s="1" t="str">
        <f t="shared" si="7"/>
        <v xml:space="preserve">$31.54 </v>
      </c>
      <c r="F25" s="1" t="str">
        <f t="shared" si="8"/>
        <v xml:space="preserve">$31.54 </v>
      </c>
      <c r="G25" s="1" t="str">
        <f t="shared" si="9"/>
        <v xml:space="preserve">31.54 </v>
      </c>
      <c r="H25" s="9">
        <f t="shared" si="10"/>
        <v>31.54</v>
      </c>
      <c r="I25" s="24">
        <f t="shared" si="4"/>
        <v>1.1284436493738819</v>
      </c>
      <c r="J25" s="11">
        <f t="shared" si="11"/>
        <v>0.1208393819337841</v>
      </c>
      <c r="P25" s="27"/>
      <c r="Q25" s="15">
        <f t="shared" si="12"/>
        <v>25</v>
      </c>
    </row>
    <row r="26" spans="2:29" ht="13.5" thickBot="1" x14ac:dyDescent="0.35">
      <c r="B26" s="5">
        <v>2014</v>
      </c>
      <c r="C26" s="5" t="s">
        <v>11</v>
      </c>
      <c r="D26" s="7"/>
      <c r="E26" s="1" t="str">
        <f t="shared" si="7"/>
        <v xml:space="preserve">$27.95 </v>
      </c>
      <c r="F26" s="1" t="str">
        <f t="shared" si="8"/>
        <v xml:space="preserve">$27.95 </v>
      </c>
      <c r="G26" s="1" t="str">
        <f t="shared" si="9"/>
        <v xml:space="preserve">27.95 </v>
      </c>
      <c r="H26" s="9">
        <f t="shared" si="10"/>
        <v>27.95</v>
      </c>
      <c r="I26" s="24">
        <f t="shared" si="4"/>
        <v>1.5099945975148568</v>
      </c>
      <c r="J26" s="11">
        <f t="shared" si="11"/>
        <v>0.41210607301570196</v>
      </c>
      <c r="P26" s="29" t="s">
        <v>23</v>
      </c>
      <c r="Q26" s="15">
        <f t="shared" si="12"/>
        <v>26</v>
      </c>
    </row>
    <row r="27" spans="2:29" ht="13.5" thickBot="1" x14ac:dyDescent="0.35">
      <c r="B27" s="5">
        <v>2013</v>
      </c>
      <c r="C27" s="5" t="s">
        <v>12</v>
      </c>
      <c r="D27" s="7"/>
      <c r="E27" s="1" t="str">
        <f t="shared" si="7"/>
        <v xml:space="preserve">$18.51 </v>
      </c>
      <c r="F27" s="1" t="str">
        <f t="shared" si="8"/>
        <v xml:space="preserve">$18.51 </v>
      </c>
      <c r="G27" s="1" t="str">
        <f t="shared" si="9"/>
        <v xml:space="preserve">18.51 </v>
      </c>
      <c r="H27" s="9">
        <f t="shared" si="10"/>
        <v>18.510000000000002</v>
      </c>
      <c r="I27" s="24">
        <f t="shared" si="4"/>
        <v>4.795336787564767</v>
      </c>
      <c r="J27" s="11">
        <f t="shared" si="11"/>
        <v>1.5676439431086666</v>
      </c>
      <c r="P27" s="27" t="s">
        <v>24</v>
      </c>
      <c r="Q27" s="15">
        <f t="shared" si="12"/>
        <v>27</v>
      </c>
      <c r="R27" s="17">
        <f>++R20*EXP(-R22*R21)</f>
        <v>24.180527067276643</v>
      </c>
      <c r="S27" s="17">
        <f t="shared" ref="S27:AC27" si="18">++S20*EXP(-S22*S21)</f>
        <v>36.270790600914964</v>
      </c>
      <c r="T27" s="17">
        <f t="shared" si="18"/>
        <v>48.361054134553285</v>
      </c>
      <c r="U27" s="17">
        <f t="shared" si="18"/>
        <v>60.451317668191606</v>
      </c>
      <c r="V27" s="17">
        <f t="shared" si="18"/>
        <v>72.541581201829928</v>
      </c>
      <c r="W27" s="17">
        <f t="shared" si="18"/>
        <v>84.631844735468249</v>
      </c>
      <c r="X27" s="17">
        <f t="shared" si="18"/>
        <v>96.72210826910657</v>
      </c>
      <c r="Y27" s="17">
        <f t="shared" si="18"/>
        <v>108.81237180274488</v>
      </c>
      <c r="Z27" s="17">
        <f t="shared" si="18"/>
        <v>120.90263533638321</v>
      </c>
      <c r="AA27" s="17">
        <f t="shared" si="18"/>
        <v>132.99289887002152</v>
      </c>
      <c r="AB27" s="17">
        <f t="shared" si="18"/>
        <v>145.08316240365986</v>
      </c>
      <c r="AC27" s="17">
        <f t="shared" si="18"/>
        <v>157.17342593729816</v>
      </c>
    </row>
    <row r="28" spans="2:29" ht="13.5" thickBot="1" x14ac:dyDescent="0.35">
      <c r="B28" s="5">
        <v>2012</v>
      </c>
      <c r="C28" s="5" t="s">
        <v>13</v>
      </c>
      <c r="D28" s="7"/>
      <c r="E28" s="1" t="str">
        <f t="shared" si="7"/>
        <v xml:space="preserve">$3.86 </v>
      </c>
      <c r="F28" s="1" t="str">
        <f t="shared" si="8"/>
        <v xml:space="preserve">$3.86 </v>
      </c>
      <c r="G28" s="1" t="str">
        <f t="shared" si="9"/>
        <v xml:space="preserve">3.86 </v>
      </c>
      <c r="H28" s="9">
        <f t="shared" si="10"/>
        <v>3.86</v>
      </c>
      <c r="I28" s="24">
        <f t="shared" si="4"/>
        <v>1.2996632996632995</v>
      </c>
      <c r="J28" s="11">
        <f t="shared" si="11"/>
        <v>0.26210523066213115</v>
      </c>
      <c r="P28" s="30" t="s">
        <v>31</v>
      </c>
      <c r="Q28" s="15">
        <f t="shared" si="12"/>
        <v>28</v>
      </c>
      <c r="R28" s="17">
        <f>+R23*R21^0.5</f>
        <v>1.514857742387111</v>
      </c>
      <c r="S28" s="17">
        <f t="shared" ref="S28:AC28" si="19">+S23*S21^0.5</f>
        <v>1.514857742387111</v>
      </c>
      <c r="T28" s="17">
        <f t="shared" si="19"/>
        <v>1.514857742387111</v>
      </c>
      <c r="U28" s="17">
        <f t="shared" si="19"/>
        <v>1.514857742387111</v>
      </c>
      <c r="V28" s="17">
        <f t="shared" si="19"/>
        <v>1.514857742387111</v>
      </c>
      <c r="W28" s="17">
        <f t="shared" si="19"/>
        <v>1.514857742387111</v>
      </c>
      <c r="X28" s="17">
        <f t="shared" si="19"/>
        <v>1.514857742387111</v>
      </c>
      <c r="Y28" s="17">
        <f t="shared" si="19"/>
        <v>1.514857742387111</v>
      </c>
      <c r="Z28" s="17">
        <f t="shared" si="19"/>
        <v>1.514857742387111</v>
      </c>
      <c r="AA28" s="17">
        <f t="shared" si="19"/>
        <v>1.514857742387111</v>
      </c>
      <c r="AB28" s="17">
        <f t="shared" si="19"/>
        <v>1.514857742387111</v>
      </c>
      <c r="AC28" s="17">
        <f t="shared" si="19"/>
        <v>1.514857742387111</v>
      </c>
    </row>
    <row r="29" spans="2:29" ht="13.5" thickBot="1" x14ac:dyDescent="0.35">
      <c r="B29" s="5">
        <v>2011</v>
      </c>
      <c r="C29" s="5" t="s">
        <v>14</v>
      </c>
      <c r="D29" s="7"/>
      <c r="E29" s="1" t="str">
        <f t="shared" si="7"/>
        <v xml:space="preserve">$2.97 </v>
      </c>
      <c r="F29" s="1" t="str">
        <f t="shared" si="8"/>
        <v xml:space="preserve">$2.97 </v>
      </c>
      <c r="G29" s="1" t="str">
        <f t="shared" si="9"/>
        <v xml:space="preserve">2.97 </v>
      </c>
      <c r="H29" s="9">
        <f t="shared" si="10"/>
        <v>2.97</v>
      </c>
      <c r="I29" s="24">
        <f>H29/H30</f>
        <v>1.1785714285714286</v>
      </c>
      <c r="J29" s="11">
        <f t="shared" si="11"/>
        <v>0.16430305129127634</v>
      </c>
      <c r="P29" s="27" t="s">
        <v>25</v>
      </c>
      <c r="Q29" s="15">
        <f t="shared" si="12"/>
        <v>29</v>
      </c>
      <c r="R29" s="17">
        <f>++(LN(R19/R20)+(R22+R23*R23/2)*R21)/(R23*R21^0.5)</f>
        <v>0.59155108871500794</v>
      </c>
      <c r="S29" s="17">
        <f t="shared" ref="S29:AC29" si="20">++(LN(S19/S20)+(S22+S23*S23/2)*S21)/(S23*S21^0.5)</f>
        <v>0.32389222097919479</v>
      </c>
      <c r="T29" s="17">
        <f t="shared" si="20"/>
        <v>0.1339852320902897</v>
      </c>
      <c r="U29" s="17">
        <f t="shared" si="20"/>
        <v>-1.3318072418409819E-2</v>
      </c>
      <c r="V29" s="17">
        <f t="shared" si="20"/>
        <v>-0.13367363564552354</v>
      </c>
      <c r="W29" s="17">
        <f t="shared" si="20"/>
        <v>-0.23543281442118058</v>
      </c>
      <c r="X29" s="17">
        <f t="shared" si="20"/>
        <v>-0.32358062453442865</v>
      </c>
      <c r="Y29" s="17">
        <f t="shared" si="20"/>
        <v>-0.40133250338133675</v>
      </c>
      <c r="Z29" s="17">
        <f t="shared" si="20"/>
        <v>-0.4708839290431282</v>
      </c>
      <c r="AA29" s="17">
        <f t="shared" si="20"/>
        <v>-0.53380084667668437</v>
      </c>
      <c r="AB29" s="17">
        <f t="shared" si="20"/>
        <v>-0.59123949227024175</v>
      </c>
      <c r="AC29" s="17">
        <f t="shared" si="20"/>
        <v>-0.64407792417963361</v>
      </c>
    </row>
    <row r="30" spans="2:29" x14ac:dyDescent="0.3">
      <c r="B30" s="5">
        <v>2010</v>
      </c>
      <c r="C30" s="5" t="s">
        <v>15</v>
      </c>
      <c r="E30" s="1" t="str">
        <f t="shared" si="7"/>
        <v xml:space="preserve">$2.52 </v>
      </c>
      <c r="F30" s="1" t="str">
        <f t="shared" si="8"/>
        <v xml:space="preserve">$2.52 </v>
      </c>
      <c r="G30" s="1" t="str">
        <f t="shared" si="9"/>
        <v xml:space="preserve">2.52 </v>
      </c>
      <c r="H30" s="9">
        <f t="shared" si="10"/>
        <v>2.52</v>
      </c>
      <c r="P30" s="27" t="s">
        <v>26</v>
      </c>
      <c r="Q30" s="15">
        <f>Q31-1</f>
        <v>30</v>
      </c>
      <c r="R30" s="17">
        <f>+R29-R28</f>
        <v>-0.92330665367210307</v>
      </c>
      <c r="S30" s="17">
        <f t="shared" ref="S30:AC30" si="21">+S29-S28</f>
        <v>-1.1909655214079162</v>
      </c>
      <c r="T30" s="17">
        <f t="shared" si="21"/>
        <v>-1.3808725102968213</v>
      </c>
      <c r="U30" s="17">
        <f t="shared" si="21"/>
        <v>-1.5281758148055209</v>
      </c>
      <c r="V30" s="17">
        <f t="shared" si="21"/>
        <v>-1.6485313780326345</v>
      </c>
      <c r="W30" s="17">
        <f t="shared" si="21"/>
        <v>-1.7502905568082916</v>
      </c>
      <c r="X30" s="17">
        <f t="shared" si="21"/>
        <v>-1.8384383669215396</v>
      </c>
      <c r="Y30" s="17">
        <f t="shared" si="21"/>
        <v>-1.9161902457684477</v>
      </c>
      <c r="Z30" s="17">
        <f t="shared" si="21"/>
        <v>-1.9857416714302392</v>
      </c>
      <c r="AA30" s="17">
        <f t="shared" si="21"/>
        <v>-2.0486585890637956</v>
      </c>
      <c r="AB30" s="17">
        <f t="shared" si="21"/>
        <v>-2.1060972346573528</v>
      </c>
      <c r="AC30" s="17">
        <f t="shared" si="21"/>
        <v>-2.1589356665667445</v>
      </c>
    </row>
    <row r="31" spans="2:29" x14ac:dyDescent="0.3">
      <c r="P31" s="27" t="s">
        <v>34</v>
      </c>
      <c r="Q31" s="15">
        <v>31</v>
      </c>
      <c r="R31" s="17">
        <f>NORMDIST(R29,0,1,TRUE)</f>
        <v>0.72292438260956449</v>
      </c>
      <c r="S31" s="17">
        <f t="shared" ref="S31:AC31" si="22">NORMDIST(S29,0,1,TRUE)</f>
        <v>0.62699018321621081</v>
      </c>
      <c r="T31" s="17">
        <f t="shared" si="22"/>
        <v>0.55329287389064463</v>
      </c>
      <c r="U31" s="17">
        <f t="shared" si="22"/>
        <v>0.49468701488093991</v>
      </c>
      <c r="V31" s="17">
        <f t="shared" si="22"/>
        <v>0.44683032686794472</v>
      </c>
      <c r="W31" s="17">
        <f t="shared" si="22"/>
        <v>0.40693640975587053</v>
      </c>
      <c r="X31" s="17">
        <f t="shared" si="22"/>
        <v>0.37312777939637742</v>
      </c>
      <c r="Y31" s="17">
        <f t="shared" si="22"/>
        <v>0.34408766808193791</v>
      </c>
      <c r="Z31" s="17">
        <f t="shared" si="22"/>
        <v>0.31886181256577112</v>
      </c>
      <c r="AA31" s="17">
        <f t="shared" si="22"/>
        <v>0.29673966396523749</v>
      </c>
      <c r="AB31" s="17">
        <f t="shared" si="22"/>
        <v>0.27717998257865617</v>
      </c>
      <c r="AC31" s="17">
        <f t="shared" si="22"/>
        <v>0.25976245238491036</v>
      </c>
    </row>
    <row r="32" spans="2:29" x14ac:dyDescent="0.3">
      <c r="P32" s="30" t="s">
        <v>32</v>
      </c>
      <c r="Q32" s="15">
        <f t="shared" ref="Q32:Q36" si="23">Q31+1</f>
        <v>32</v>
      </c>
      <c r="R32" s="17">
        <f>NORMDIST(R30,0,1,TRUE)*R27</f>
        <v>4.30228910290705</v>
      </c>
      <c r="S32" s="17">
        <f t="shared" ref="S32:AC32" si="24">NORMDIST(S30,0,1,TRUE)*S27</f>
        <v>4.2376455996269335</v>
      </c>
      <c r="T32" s="17">
        <f t="shared" si="24"/>
        <v>4.045841383779309</v>
      </c>
      <c r="U32" s="17">
        <f t="shared" si="24"/>
        <v>3.8226055789258351</v>
      </c>
      <c r="V32" s="17">
        <f t="shared" si="24"/>
        <v>3.599646635035902</v>
      </c>
      <c r="W32" s="17">
        <f t="shared" si="24"/>
        <v>3.3881592930415128</v>
      </c>
      <c r="X32" s="17">
        <f t="shared" si="24"/>
        <v>3.1917249169203896</v>
      </c>
      <c r="Y32" s="17">
        <f t="shared" si="24"/>
        <v>3.0108864497590724</v>
      </c>
      <c r="Z32" s="17">
        <f t="shared" si="24"/>
        <v>2.8449608412763854</v>
      </c>
      <c r="AA32" s="17">
        <f t="shared" si="24"/>
        <v>2.6928077136980724</v>
      </c>
      <c r="AB32" s="17">
        <f t="shared" si="24"/>
        <v>2.5531667458615299</v>
      </c>
      <c r="AC32" s="17">
        <f t="shared" si="24"/>
        <v>2.424805471858956</v>
      </c>
    </row>
    <row r="33" spans="2:31" x14ac:dyDescent="0.3">
      <c r="O33" s="3"/>
      <c r="P33" s="27"/>
      <c r="Q33" s="15">
        <f t="shared" si="23"/>
        <v>33</v>
      </c>
    </row>
    <row r="34" spans="2:31" x14ac:dyDescent="0.3">
      <c r="P34" s="31" t="s">
        <v>27</v>
      </c>
      <c r="Q34" s="15">
        <f t="shared" si="23"/>
        <v>34</v>
      </c>
      <c r="R34" s="19">
        <f>+R31*R19-R32</f>
        <v>9.294256339174451</v>
      </c>
      <c r="S34" s="19">
        <f t="shared" ref="S34:AC34" si="25">+S31*S19-S32</f>
        <v>7.5545981300223506</v>
      </c>
      <c r="T34" s="19">
        <f t="shared" si="25"/>
        <v>6.3603254071075268</v>
      </c>
      <c r="U34" s="19">
        <f t="shared" si="25"/>
        <v>5.4813197543948569</v>
      </c>
      <c r="V34" s="19">
        <f t="shared" si="25"/>
        <v>4.8042044319730008</v>
      </c>
      <c r="W34" s="19">
        <f t="shared" si="25"/>
        <v>4.2653789197806775</v>
      </c>
      <c r="X34" s="19">
        <f t="shared" si="25"/>
        <v>3.8259506938436716</v>
      </c>
      <c r="Y34" s="19">
        <f t="shared" si="25"/>
        <v>3.4606114380948889</v>
      </c>
      <c r="Z34" s="19">
        <f t="shared" si="25"/>
        <v>3.1520967052477373</v>
      </c>
      <c r="AA34" s="19">
        <f t="shared" si="25"/>
        <v>2.8881830823342742</v>
      </c>
      <c r="AB34" s="19">
        <f t="shared" si="25"/>
        <v>2.659951416182043</v>
      </c>
      <c r="AC34" s="19">
        <f t="shared" si="25"/>
        <v>2.4607289947595974</v>
      </c>
      <c r="AE34" s="33" t="s">
        <v>40</v>
      </c>
    </row>
    <row r="35" spans="2:31" x14ac:dyDescent="0.3">
      <c r="P35" s="31"/>
      <c r="Q35" s="15">
        <f t="shared" si="23"/>
        <v>35</v>
      </c>
    </row>
    <row r="36" spans="2:31" x14ac:dyDescent="0.3">
      <c r="Q36" s="15">
        <f t="shared" si="23"/>
        <v>36</v>
      </c>
    </row>
    <row r="38" spans="2:31" x14ac:dyDescent="0.3">
      <c r="R38" s="20">
        <f t="shared" ref="R38:AC38" si="26">R34*1%</f>
        <v>9.2942563391744518E-2</v>
      </c>
      <c r="S38" s="20">
        <f t="shared" si="26"/>
        <v>7.5545981300223511E-2</v>
      </c>
      <c r="T38" s="20">
        <f t="shared" si="26"/>
        <v>6.3603254071075269E-2</v>
      </c>
      <c r="U38" s="20">
        <f t="shared" si="26"/>
        <v>5.4813197543948568E-2</v>
      </c>
      <c r="V38" s="20">
        <f t="shared" si="26"/>
        <v>4.8042044319730012E-2</v>
      </c>
      <c r="W38" s="20">
        <f t="shared" si="26"/>
        <v>4.2653789197806775E-2</v>
      </c>
      <c r="X38" s="20">
        <f t="shared" si="26"/>
        <v>3.8259506938436716E-2</v>
      </c>
      <c r="Y38" s="20">
        <f t="shared" si="26"/>
        <v>3.4606114380948891E-2</v>
      </c>
      <c r="Z38" s="20">
        <f t="shared" si="26"/>
        <v>3.1520967052477374E-2</v>
      </c>
      <c r="AA38" s="20">
        <f t="shared" si="26"/>
        <v>2.8881830823342742E-2</v>
      </c>
      <c r="AB38" s="20">
        <f t="shared" si="26"/>
        <v>2.659951416182043E-2</v>
      </c>
      <c r="AC38" s="20">
        <f t="shared" si="26"/>
        <v>2.4607289947595975E-2</v>
      </c>
      <c r="AD38" s="21">
        <f>SUM(R38:AC38)</f>
        <v>0.56207605312915077</v>
      </c>
    </row>
    <row r="39" spans="2:31" x14ac:dyDescent="0.3">
      <c r="R39" s="32">
        <f t="shared" ref="R39:AC39" si="27">1%*R15</f>
        <v>1</v>
      </c>
      <c r="S39" s="32">
        <f t="shared" si="27"/>
        <v>1.5</v>
      </c>
      <c r="T39" s="32">
        <f t="shared" si="27"/>
        <v>2</v>
      </c>
      <c r="U39" s="32">
        <f t="shared" si="27"/>
        <v>2.5</v>
      </c>
      <c r="V39" s="32">
        <f t="shared" si="27"/>
        <v>3</v>
      </c>
      <c r="W39" s="32">
        <f t="shared" si="27"/>
        <v>3.5</v>
      </c>
      <c r="X39" s="32">
        <f t="shared" si="27"/>
        <v>4</v>
      </c>
      <c r="Y39" s="32">
        <f t="shared" si="27"/>
        <v>4.5</v>
      </c>
      <c r="Z39" s="32">
        <f t="shared" si="27"/>
        <v>5</v>
      </c>
      <c r="AA39" s="32">
        <f t="shared" si="27"/>
        <v>5.5</v>
      </c>
      <c r="AB39" s="32">
        <f t="shared" si="27"/>
        <v>6</v>
      </c>
      <c r="AC39" s="32">
        <f t="shared" si="27"/>
        <v>6.5</v>
      </c>
    </row>
    <row r="40" spans="2:31" x14ac:dyDescent="0.3">
      <c r="B40" s="40" t="s">
        <v>59</v>
      </c>
      <c r="C40" s="41"/>
      <c r="D40" s="41"/>
      <c r="E40" s="41"/>
      <c r="F40" s="42"/>
    </row>
    <row r="41" spans="2:31" x14ac:dyDescent="0.3">
      <c r="B41" s="43" t="s">
        <v>60</v>
      </c>
      <c r="F41" s="44"/>
      <c r="Q41" s="22" t="s">
        <v>43</v>
      </c>
      <c r="R41" s="9">
        <f>$Q$51*1%</f>
        <v>31760000</v>
      </c>
      <c r="S41" s="9">
        <f>R41</f>
        <v>31760000</v>
      </c>
      <c r="T41" s="9">
        <f t="shared" ref="T41:AC41" si="28">S41</f>
        <v>31760000</v>
      </c>
      <c r="U41" s="9">
        <f t="shared" si="28"/>
        <v>31760000</v>
      </c>
      <c r="V41" s="9">
        <f t="shared" si="28"/>
        <v>31760000</v>
      </c>
      <c r="W41" s="9">
        <f t="shared" si="28"/>
        <v>31760000</v>
      </c>
      <c r="X41" s="9">
        <f t="shared" si="28"/>
        <v>31760000</v>
      </c>
      <c r="Y41" s="9">
        <f t="shared" si="28"/>
        <v>31760000</v>
      </c>
      <c r="Z41" s="9">
        <f t="shared" si="28"/>
        <v>31760000</v>
      </c>
      <c r="AA41" s="9">
        <f t="shared" si="28"/>
        <v>31760000</v>
      </c>
      <c r="AB41" s="9">
        <f t="shared" si="28"/>
        <v>31760000</v>
      </c>
      <c r="AC41" s="9">
        <f t="shared" si="28"/>
        <v>31760000</v>
      </c>
      <c r="AD41" s="14">
        <f>SUM(R41:AC41)</f>
        <v>381120000</v>
      </c>
    </row>
    <row r="42" spans="2:31" x14ac:dyDescent="0.3">
      <c r="B42" s="43" t="s">
        <v>61</v>
      </c>
      <c r="F42" s="44"/>
      <c r="Q42" s="22" t="s">
        <v>53</v>
      </c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14"/>
    </row>
    <row r="43" spans="2:31" x14ac:dyDescent="0.3">
      <c r="B43" s="43"/>
      <c r="F43" s="44"/>
      <c r="Q43" s="22" t="s">
        <v>47</v>
      </c>
      <c r="R43" s="20">
        <f t="shared" ref="R43:AB43" si="29">R16/100*$Q$51*(R12)/1000000000/(1+R16/100)</f>
        <v>0.39868061847489444</v>
      </c>
      <c r="S43" s="20">
        <f t="shared" si="29"/>
        <v>1.7699361267836147</v>
      </c>
      <c r="T43" s="20">
        <f t="shared" si="29"/>
        <v>4.0854391009504178</v>
      </c>
      <c r="U43" s="20">
        <f t="shared" si="29"/>
        <v>7.3179516333063201</v>
      </c>
      <c r="V43" s="20">
        <f t="shared" si="29"/>
        <v>11.441273450760207</v>
      </c>
      <c r="W43" s="20">
        <f t="shared" si="29"/>
        <v>16.430192969771564</v>
      </c>
      <c r="X43" s="20">
        <f t="shared" si="29"/>
        <v>22.260441095904213</v>
      </c>
      <c r="Y43" s="20">
        <f t="shared" si="29"/>
        <v>28.908647590071428</v>
      </c>
      <c r="Z43" s="20">
        <f t="shared" si="29"/>
        <v>36.352299836639254</v>
      </c>
      <c r="AA43" s="20">
        <f t="shared" si="29"/>
        <v>44.569703860542205</v>
      </c>
      <c r="AB43" s="20">
        <f t="shared" si="29"/>
        <v>53.539947451582051</v>
      </c>
      <c r="AC43" s="20">
        <f>AC16/100*$Q$51*(AC12)/1000000000/(1+AC16/100)</f>
        <v>63.242865264210451</v>
      </c>
    </row>
    <row r="44" spans="2:31" x14ac:dyDescent="0.3">
      <c r="B44" s="43"/>
      <c r="F44" s="44"/>
      <c r="Q44" s="22" t="s">
        <v>54</v>
      </c>
      <c r="R44" s="20"/>
      <c r="S44" s="20">
        <f>S43-R43</f>
        <v>1.3712555083087201</v>
      </c>
      <c r="T44" s="20">
        <f t="shared" ref="T44:AC44" si="30">T43-S43</f>
        <v>2.3155029741668032</v>
      </c>
      <c r="U44" s="20">
        <f t="shared" si="30"/>
        <v>3.2325125323559023</v>
      </c>
      <c r="V44" s="20">
        <f t="shared" si="30"/>
        <v>4.1233218174538866</v>
      </c>
      <c r="W44" s="20">
        <f t="shared" si="30"/>
        <v>4.9889195190113576</v>
      </c>
      <c r="X44" s="20">
        <f t="shared" si="30"/>
        <v>5.8302481261326484</v>
      </c>
      <c r="Y44" s="20">
        <f t="shared" si="30"/>
        <v>6.6482064941672157</v>
      </c>
      <c r="Z44" s="20">
        <f t="shared" si="30"/>
        <v>7.4436522465678259</v>
      </c>
      <c r="AA44" s="20">
        <f t="shared" si="30"/>
        <v>8.2174040239029509</v>
      </c>
      <c r="AB44" s="20">
        <f t="shared" si="30"/>
        <v>8.9702435910398464</v>
      </c>
      <c r="AC44" s="20">
        <f t="shared" si="30"/>
        <v>9.7029178126283995</v>
      </c>
    </row>
    <row r="45" spans="2:31" x14ac:dyDescent="0.3">
      <c r="B45" s="45"/>
      <c r="C45" s="46"/>
      <c r="D45" s="46"/>
      <c r="E45" s="46"/>
      <c r="F45" s="47"/>
      <c r="Q45" s="22" t="s">
        <v>50</v>
      </c>
      <c r="R45" s="37"/>
      <c r="S45" s="37">
        <v>1.4</v>
      </c>
      <c r="T45" s="37"/>
      <c r="U45" s="37">
        <v>6.3</v>
      </c>
      <c r="V45" s="37"/>
      <c r="W45" s="37"/>
      <c r="X45" s="37"/>
      <c r="Y45" s="37">
        <v>25.3</v>
      </c>
      <c r="Z45" s="37"/>
      <c r="AA45" s="37"/>
      <c r="AB45" s="37"/>
      <c r="AC45" s="37">
        <v>55.8</v>
      </c>
    </row>
    <row r="46" spans="2:31" x14ac:dyDescent="0.3">
      <c r="Q46" s="22" t="s">
        <v>51</v>
      </c>
      <c r="R46" s="9"/>
      <c r="S46" s="10">
        <f>S43/S45</f>
        <v>1.2642400905597249</v>
      </c>
      <c r="T46" s="9"/>
      <c r="U46" s="10">
        <f>U43/U45</f>
        <v>1.1615796243343366</v>
      </c>
      <c r="V46" s="9"/>
      <c r="W46" s="9"/>
      <c r="X46" s="9"/>
      <c r="Y46" s="10">
        <f>Y43/Y45</f>
        <v>1.1426342920976849</v>
      </c>
      <c r="Z46" s="9"/>
      <c r="AA46" s="9"/>
      <c r="AB46" s="9"/>
      <c r="AC46" s="10">
        <f>AC43/AC45</f>
        <v>1.1333846821543092</v>
      </c>
    </row>
    <row r="47" spans="2:31" x14ac:dyDescent="0.3">
      <c r="B47" s="40" t="s">
        <v>62</v>
      </c>
      <c r="C47" s="41"/>
      <c r="D47" s="41"/>
      <c r="E47" s="41"/>
      <c r="F47" s="42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14"/>
    </row>
    <row r="48" spans="2:31" x14ac:dyDescent="0.3">
      <c r="B48" s="43" t="s">
        <v>63</v>
      </c>
      <c r="F48" s="44"/>
      <c r="R48" s="9">
        <f>R41*R34</f>
        <v>295185581.33218056</v>
      </c>
      <c r="S48" s="9">
        <f t="shared" ref="S48:AC48" si="31">S41*S34</f>
        <v>239934036.60950986</v>
      </c>
      <c r="T48" s="9">
        <f t="shared" si="31"/>
        <v>202003934.92973506</v>
      </c>
      <c r="U48" s="9">
        <f t="shared" si="31"/>
        <v>174086715.39958066</v>
      </c>
      <c r="V48" s="9">
        <f t="shared" si="31"/>
        <v>152581532.75946251</v>
      </c>
      <c r="W48" s="9">
        <f t="shared" si="31"/>
        <v>135468434.49223432</v>
      </c>
      <c r="X48" s="9">
        <f t="shared" si="31"/>
        <v>121512194.036475</v>
      </c>
      <c r="Y48" s="9">
        <f t="shared" si="31"/>
        <v>109909019.27389367</v>
      </c>
      <c r="Z48" s="9">
        <f t="shared" si="31"/>
        <v>100110591.35866813</v>
      </c>
      <c r="AA48" s="9">
        <f t="shared" si="31"/>
        <v>91728694.694936544</v>
      </c>
      <c r="AB48" s="9">
        <f t="shared" si="31"/>
        <v>84480056.977941692</v>
      </c>
      <c r="AC48" s="9">
        <f t="shared" si="31"/>
        <v>78152752.87356481</v>
      </c>
      <c r="AD48" s="14">
        <f>SUM(R48:AC48)</f>
        <v>1785153544.7381825</v>
      </c>
    </row>
    <row r="49" spans="2:29" x14ac:dyDescent="0.3">
      <c r="B49" s="43" t="s">
        <v>64</v>
      </c>
      <c r="F49" s="44"/>
      <c r="AC49" s="38">
        <v>9.6000000000000002E-2</v>
      </c>
    </row>
    <row r="50" spans="2:29" x14ac:dyDescent="0.3">
      <c r="B50" s="43" t="s">
        <v>65</v>
      </c>
      <c r="F50" s="44"/>
      <c r="AC50" s="20"/>
    </row>
    <row r="51" spans="2:29" x14ac:dyDescent="0.3">
      <c r="B51" s="43" t="s">
        <v>66</v>
      </c>
      <c r="F51" s="44"/>
      <c r="P51" s="27" t="s">
        <v>41</v>
      </c>
      <c r="Q51" s="34">
        <v>3176000000</v>
      </c>
      <c r="AC51" s="23">
        <f>AC49*$Q$51*(AC12)/1000000000</f>
        <v>56.665607276732572</v>
      </c>
    </row>
    <row r="52" spans="2:29" x14ac:dyDescent="0.3">
      <c r="B52" s="43"/>
      <c r="F52" s="44"/>
    </row>
    <row r="53" spans="2:29" x14ac:dyDescent="0.3">
      <c r="B53" s="45"/>
      <c r="C53" s="46"/>
      <c r="D53" s="46"/>
      <c r="E53" s="46"/>
      <c r="F53" s="47"/>
    </row>
    <row r="54" spans="2:29" x14ac:dyDescent="0.3">
      <c r="AC54" s="23">
        <f>(AC15-H22)*AC49</f>
        <v>56.885759999999998</v>
      </c>
    </row>
    <row r="55" spans="2:29" x14ac:dyDescent="0.3">
      <c r="Q55" s="23">
        <f>Q56/Q59</f>
        <v>18.610462008816121</v>
      </c>
      <c r="AC55" s="9">
        <f>(2000-H22)*AC49</f>
        <v>186.48576</v>
      </c>
    </row>
    <row r="56" spans="2:29" x14ac:dyDescent="0.3">
      <c r="Q56" s="36">
        <v>350.02</v>
      </c>
      <c r="R56" s="1" t="s">
        <v>48</v>
      </c>
    </row>
    <row r="57" spans="2:29" x14ac:dyDescent="0.3">
      <c r="Q57" s="9">
        <v>1688670</v>
      </c>
      <c r="R57" s="1" t="s">
        <v>44</v>
      </c>
    </row>
    <row r="58" spans="2:29" x14ac:dyDescent="0.3">
      <c r="Q58" s="9">
        <f>Q57/1%</f>
        <v>168867000</v>
      </c>
      <c r="R58" s="1" t="s">
        <v>45</v>
      </c>
    </row>
    <row r="59" spans="2:29" x14ac:dyDescent="0.3">
      <c r="Q59" s="23">
        <f>Q51/Q58</f>
        <v>18.807700734897878</v>
      </c>
      <c r="R59" s="1" t="s">
        <v>46</v>
      </c>
    </row>
    <row r="63" spans="2:29" x14ac:dyDescent="0.3">
      <c r="Q63" s="27" t="s">
        <v>56</v>
      </c>
      <c r="R63" s="13">
        <v>1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Vanilla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Walsh, Lewis</dc:creator>
  <cp:lastModifiedBy>Walsh, Lewis</cp:lastModifiedBy>
  <dcterms:created xsi:type="dcterms:W3CDTF">2024-02-01T10:03:17Z</dcterms:created>
  <dcterms:modified xsi:type="dcterms:W3CDTF">2024-02-06T15:26:56Z</dcterms:modified>
</cp:coreProperties>
</file>